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eckettb\Desktop\"/>
    </mc:Choice>
  </mc:AlternateContent>
  <bookViews>
    <workbookView xWindow="0" yWindow="0" windowWidth="21570" windowHeight="11595" tabRatio="641" firstSheet="1" activeTab="2"/>
  </bookViews>
  <sheets>
    <sheet name="Information" sheetId="4" r:id="rId1"/>
    <sheet name="Control_Panel" sheetId="1" r:id="rId2"/>
    <sheet name="Stage_1_Issue_Identification" sheetId="2" r:id="rId3"/>
    <sheet name="Stage_2_Issue_Characterization" sheetId="5" r:id="rId4"/>
    <sheet name="Stage_3_Issue_Location" sheetId="6" r:id="rId5"/>
    <sheet name="Data" sheetId="3" state="hidden" r:id="rId6"/>
  </sheets>
  <definedNames>
    <definedName name="_xlnm._FilterDatabase" localSheetId="3" hidden="1">Stage_2_Issue_Characterization!$A$11:$A$100</definedName>
    <definedName name="Geographies">Data!$B$6:$P$6</definedName>
    <definedName name="GeoLookup">OFFSET(Data!$B$6,0,0,1,COUNTA(Data!$6:$6)-1)</definedName>
    <definedName name="S1comp">Stage_1_Issue_Identification!$D$11:$F$11</definedName>
    <definedName name="S2comp">Stage_2_Issue_Characterization!$E$11:$G$11</definedName>
  </definedNames>
  <calcPr calcId="152511" forceFullCalc="1"/>
</workbook>
</file>

<file path=xl/calcChain.xml><?xml version="1.0" encoding="utf-8"?>
<calcChain xmlns="http://schemas.openxmlformats.org/spreadsheetml/2006/main">
  <c r="B59" i="3" l="1"/>
  <c r="J68" i="1"/>
  <c r="I68" i="1"/>
  <c r="H68" i="1"/>
  <c r="G68" i="1"/>
  <c r="J58" i="1"/>
  <c r="I58" i="1"/>
  <c r="J69" i="1"/>
  <c r="I69" i="1"/>
  <c r="H69" i="1"/>
  <c r="G69" i="1"/>
  <c r="J66" i="1"/>
  <c r="I66" i="1"/>
  <c r="H66" i="1"/>
  <c r="G66" i="1"/>
  <c r="J65" i="1"/>
  <c r="I65" i="1"/>
  <c r="H65" i="1"/>
  <c r="G65" i="1"/>
  <c r="J64" i="1"/>
  <c r="I64" i="1"/>
  <c r="H64" i="1"/>
  <c r="G64" i="1"/>
  <c r="H58" i="1"/>
  <c r="G58" i="1"/>
  <c r="J55" i="1"/>
  <c r="I55" i="1"/>
  <c r="H55" i="1"/>
  <c r="G55" i="1"/>
  <c r="I50" i="1"/>
  <c r="H50" i="1"/>
  <c r="G50" i="1"/>
  <c r="J67" i="1"/>
  <c r="I67" i="1"/>
  <c r="H67" i="1"/>
  <c r="G67" i="1"/>
  <c r="J62" i="1"/>
  <c r="I62" i="1"/>
  <c r="H62" i="1"/>
  <c r="G62" i="1"/>
  <c r="J61" i="1"/>
  <c r="I61" i="1"/>
  <c r="H61" i="1"/>
  <c r="G61" i="1"/>
  <c r="J60" i="1"/>
  <c r="I60" i="1"/>
  <c r="H60" i="1"/>
  <c r="G60" i="1"/>
  <c r="J59" i="1"/>
  <c r="I59" i="1"/>
  <c r="H59" i="1"/>
  <c r="G59" i="1"/>
  <c r="J57" i="1"/>
  <c r="I57" i="1"/>
  <c r="H57" i="1"/>
  <c r="G57" i="1"/>
  <c r="J56" i="1"/>
  <c r="I56" i="1"/>
  <c r="H56" i="1"/>
  <c r="G56" i="1"/>
  <c r="J53" i="1"/>
  <c r="I53" i="1"/>
  <c r="H53" i="1"/>
  <c r="G53" i="1"/>
  <c r="J52" i="1"/>
  <c r="I52" i="1"/>
  <c r="H52" i="1"/>
  <c r="G52" i="1"/>
  <c r="J50" i="1"/>
  <c r="J51" i="1"/>
  <c r="I51" i="1"/>
  <c r="H51" i="1"/>
  <c r="G51" i="1"/>
  <c r="I33" i="1"/>
  <c r="J39" i="1"/>
  <c r="J38" i="1"/>
  <c r="J37" i="1"/>
  <c r="J36" i="1"/>
  <c r="J35" i="1"/>
  <c r="J34" i="1"/>
  <c r="J33" i="1"/>
  <c r="J32" i="1"/>
  <c r="J31" i="1"/>
  <c r="J30" i="1"/>
  <c r="I39" i="1"/>
  <c r="I38" i="1"/>
  <c r="I37" i="1"/>
  <c r="I36" i="1"/>
  <c r="I35" i="1"/>
  <c r="I34" i="1"/>
  <c r="I32" i="1"/>
  <c r="I31" i="1"/>
  <c r="I30" i="1"/>
  <c r="H38" i="1"/>
  <c r="H39" i="1"/>
  <c r="H35" i="1"/>
  <c r="H36" i="1"/>
  <c r="H37" i="1"/>
  <c r="H34" i="1"/>
  <c r="H33" i="1"/>
  <c r="H32" i="1"/>
  <c r="H31" i="1"/>
  <c r="H30" i="1"/>
  <c r="G38" i="1"/>
  <c r="G31" i="1"/>
  <c r="G39" i="1"/>
  <c r="G37" i="1"/>
  <c r="G36" i="1"/>
  <c r="G35" i="1"/>
  <c r="G34" i="1"/>
  <c r="G32" i="1"/>
  <c r="G30" i="1"/>
  <c r="G33" i="1"/>
  <c r="C151" i="3" l="1"/>
  <c r="D151" i="3"/>
  <c r="E151" i="3"/>
  <c r="F151" i="3"/>
  <c r="G151" i="3"/>
  <c r="H151" i="3"/>
  <c r="I151" i="3"/>
  <c r="J151" i="3"/>
  <c r="K151" i="3"/>
  <c r="L151" i="3"/>
  <c r="M151" i="3"/>
  <c r="N151" i="3"/>
  <c r="O151" i="3"/>
  <c r="P151" i="3"/>
  <c r="C152" i="3"/>
  <c r="D152" i="3"/>
  <c r="E152" i="3"/>
  <c r="F152" i="3"/>
  <c r="G152" i="3"/>
  <c r="H152" i="3"/>
  <c r="I152" i="3"/>
  <c r="J152" i="3"/>
  <c r="K152" i="3"/>
  <c r="L152" i="3"/>
  <c r="M152" i="3"/>
  <c r="N152" i="3"/>
  <c r="O152" i="3"/>
  <c r="P152" i="3"/>
  <c r="C153" i="3"/>
  <c r="D153" i="3"/>
  <c r="E153" i="3"/>
  <c r="F153" i="3"/>
  <c r="G153" i="3"/>
  <c r="H153" i="3"/>
  <c r="I153" i="3"/>
  <c r="J153" i="3"/>
  <c r="K153" i="3"/>
  <c r="L153" i="3"/>
  <c r="M153" i="3"/>
  <c r="N153" i="3"/>
  <c r="O153" i="3"/>
  <c r="P153" i="3"/>
  <c r="B153" i="3"/>
  <c r="B152" i="3"/>
  <c r="B151" i="3"/>
  <c r="C139" i="3"/>
  <c r="D139" i="3"/>
  <c r="E139" i="3"/>
  <c r="F139" i="3"/>
  <c r="G139" i="3"/>
  <c r="H139" i="3"/>
  <c r="I139" i="3"/>
  <c r="J139" i="3"/>
  <c r="K139" i="3"/>
  <c r="L139" i="3"/>
  <c r="M139" i="3"/>
  <c r="N139" i="3"/>
  <c r="O139" i="3"/>
  <c r="P139" i="3"/>
  <c r="C140" i="3"/>
  <c r="D140" i="3"/>
  <c r="E140" i="3"/>
  <c r="F140" i="3"/>
  <c r="G140" i="3"/>
  <c r="H140" i="3"/>
  <c r="I140" i="3"/>
  <c r="J140" i="3"/>
  <c r="K140" i="3"/>
  <c r="L140" i="3"/>
  <c r="M140" i="3"/>
  <c r="N140" i="3"/>
  <c r="O140" i="3"/>
  <c r="P140" i="3"/>
  <c r="C141" i="3"/>
  <c r="D141" i="3"/>
  <c r="E141" i="3"/>
  <c r="F141" i="3"/>
  <c r="G141" i="3"/>
  <c r="H141" i="3"/>
  <c r="I141" i="3"/>
  <c r="J141" i="3"/>
  <c r="K141" i="3"/>
  <c r="L141" i="3"/>
  <c r="M141" i="3"/>
  <c r="N141" i="3"/>
  <c r="O141" i="3"/>
  <c r="P141" i="3"/>
  <c r="B141" i="3"/>
  <c r="B140" i="3"/>
  <c r="B139" i="3"/>
  <c r="F36" i="3" l="1"/>
  <c r="G36" i="3"/>
  <c r="H36" i="3"/>
  <c r="I36" i="3"/>
  <c r="J36" i="3"/>
  <c r="K36" i="3"/>
  <c r="L36" i="3"/>
  <c r="M36" i="3"/>
  <c r="N36" i="3"/>
  <c r="O36" i="3"/>
  <c r="P36" i="3"/>
  <c r="C36" i="3"/>
  <c r="D36" i="3"/>
  <c r="E36" i="3"/>
  <c r="B36" i="3"/>
  <c r="B35" i="3"/>
  <c r="D35" i="3"/>
  <c r="E35" i="3"/>
  <c r="F35" i="3"/>
  <c r="G35" i="3"/>
  <c r="H35" i="3"/>
  <c r="I35" i="3"/>
  <c r="J35" i="3"/>
  <c r="K35" i="3"/>
  <c r="L35" i="3"/>
  <c r="M35" i="3"/>
  <c r="N35" i="3"/>
  <c r="O35" i="3"/>
  <c r="P35" i="3"/>
  <c r="C35" i="3"/>
  <c r="C66" i="3"/>
  <c r="B67" i="3"/>
  <c r="B66" i="3"/>
  <c r="A7" i="6" l="1"/>
  <c r="D11" i="5"/>
  <c r="D29" i="6" l="1"/>
  <c r="D15" i="6"/>
  <c r="G29" i="6"/>
  <c r="D28" i="6"/>
  <c r="G27" i="6"/>
  <c r="G28" i="6"/>
  <c r="D27" i="6"/>
  <c r="G17" i="6"/>
  <c r="G18" i="6"/>
  <c r="G16" i="6"/>
  <c r="D17" i="6"/>
  <c r="D18" i="6"/>
  <c r="G15" i="6"/>
  <c r="D16" i="6"/>
  <c r="D19" i="6"/>
  <c r="G19" i="6"/>
  <c r="G14" i="6"/>
  <c r="G13" i="6"/>
  <c r="D13" i="6"/>
  <c r="D14" i="6"/>
  <c r="C169" i="3"/>
  <c r="D169" i="3"/>
  <c r="E169" i="3"/>
  <c r="F169" i="3"/>
  <c r="G169" i="3"/>
  <c r="H169" i="3"/>
  <c r="I169" i="3"/>
  <c r="J169" i="3"/>
  <c r="K169" i="3"/>
  <c r="L169" i="3"/>
  <c r="M169" i="3"/>
  <c r="N169" i="3"/>
  <c r="O169" i="3"/>
  <c r="P169" i="3"/>
  <c r="B169" i="3"/>
  <c r="C121" i="3"/>
  <c r="D121" i="3"/>
  <c r="E121" i="3"/>
  <c r="F121" i="3"/>
  <c r="G121" i="3"/>
  <c r="H121" i="3"/>
  <c r="I121" i="3"/>
  <c r="J121" i="3"/>
  <c r="K121" i="3"/>
  <c r="L121" i="3"/>
  <c r="M121" i="3"/>
  <c r="N121" i="3"/>
  <c r="O121" i="3"/>
  <c r="P121" i="3"/>
  <c r="B121" i="3"/>
  <c r="C60" i="3"/>
  <c r="D60" i="3"/>
  <c r="E60" i="3"/>
  <c r="F60" i="3"/>
  <c r="G60" i="3"/>
  <c r="H60" i="3"/>
  <c r="I60" i="3"/>
  <c r="J60" i="3"/>
  <c r="K60" i="3"/>
  <c r="L60" i="3"/>
  <c r="M60" i="3"/>
  <c r="N60" i="3"/>
  <c r="O60" i="3"/>
  <c r="P60" i="3"/>
  <c r="B60" i="3"/>
  <c r="C197" i="3"/>
  <c r="D197" i="3"/>
  <c r="E197" i="3"/>
  <c r="F197" i="3"/>
  <c r="G197" i="3"/>
  <c r="H197" i="3"/>
  <c r="I197" i="3"/>
  <c r="J197" i="3"/>
  <c r="K197" i="3"/>
  <c r="L197" i="3"/>
  <c r="M197" i="3"/>
  <c r="N197" i="3"/>
  <c r="O197" i="3"/>
  <c r="P197" i="3"/>
  <c r="C198" i="3"/>
  <c r="D198" i="3"/>
  <c r="E198" i="3"/>
  <c r="F198" i="3"/>
  <c r="G198" i="3"/>
  <c r="H198" i="3"/>
  <c r="I198" i="3"/>
  <c r="J198" i="3"/>
  <c r="K198" i="3"/>
  <c r="L198" i="3"/>
  <c r="M198" i="3"/>
  <c r="N198" i="3"/>
  <c r="O198" i="3"/>
  <c r="P198" i="3"/>
  <c r="C199" i="3"/>
  <c r="D199" i="3"/>
  <c r="E199" i="3"/>
  <c r="F199" i="3"/>
  <c r="G199" i="3"/>
  <c r="H199" i="3"/>
  <c r="I199" i="3"/>
  <c r="J199" i="3"/>
  <c r="K199" i="3"/>
  <c r="L199" i="3"/>
  <c r="M199" i="3"/>
  <c r="N199" i="3"/>
  <c r="O199" i="3"/>
  <c r="P199" i="3"/>
  <c r="C200" i="3"/>
  <c r="D200" i="3"/>
  <c r="E200" i="3"/>
  <c r="F200" i="3"/>
  <c r="G200" i="3"/>
  <c r="H200" i="3"/>
  <c r="I200" i="3"/>
  <c r="J200" i="3"/>
  <c r="K200" i="3"/>
  <c r="L200" i="3"/>
  <c r="M200" i="3"/>
  <c r="N200" i="3"/>
  <c r="O200" i="3"/>
  <c r="P200" i="3"/>
  <c r="C201" i="3"/>
  <c r="D201" i="3"/>
  <c r="E201" i="3"/>
  <c r="F201" i="3"/>
  <c r="G201" i="3"/>
  <c r="H201" i="3"/>
  <c r="I201" i="3"/>
  <c r="J201" i="3"/>
  <c r="K201" i="3"/>
  <c r="L201" i="3"/>
  <c r="M201" i="3"/>
  <c r="N201" i="3"/>
  <c r="O201" i="3"/>
  <c r="P201" i="3"/>
  <c r="C203" i="3"/>
  <c r="D203" i="3"/>
  <c r="E203" i="3"/>
  <c r="F203" i="3"/>
  <c r="G203" i="3"/>
  <c r="H203" i="3"/>
  <c r="I203" i="3"/>
  <c r="J203" i="3"/>
  <c r="K203" i="3"/>
  <c r="L203" i="3"/>
  <c r="M203" i="3"/>
  <c r="N203" i="3"/>
  <c r="O203" i="3"/>
  <c r="P203" i="3"/>
  <c r="C204" i="3"/>
  <c r="D204" i="3"/>
  <c r="E204" i="3"/>
  <c r="F204" i="3"/>
  <c r="G204" i="3"/>
  <c r="H204" i="3"/>
  <c r="I204" i="3"/>
  <c r="J204" i="3"/>
  <c r="K204" i="3"/>
  <c r="L204" i="3"/>
  <c r="M204" i="3"/>
  <c r="N204" i="3"/>
  <c r="O204" i="3"/>
  <c r="P204" i="3"/>
  <c r="C205" i="3"/>
  <c r="D205" i="3"/>
  <c r="E205" i="3"/>
  <c r="F205" i="3"/>
  <c r="G205" i="3"/>
  <c r="H205" i="3"/>
  <c r="I205" i="3"/>
  <c r="J205" i="3"/>
  <c r="K205" i="3"/>
  <c r="L205" i="3"/>
  <c r="M205" i="3"/>
  <c r="N205" i="3"/>
  <c r="O205" i="3"/>
  <c r="P205" i="3"/>
  <c r="C206" i="3"/>
  <c r="D206" i="3"/>
  <c r="E206" i="3"/>
  <c r="F206" i="3"/>
  <c r="G206" i="3"/>
  <c r="H206" i="3"/>
  <c r="I206" i="3"/>
  <c r="J206" i="3"/>
  <c r="K206" i="3"/>
  <c r="L206" i="3"/>
  <c r="M206" i="3"/>
  <c r="N206" i="3"/>
  <c r="O206" i="3"/>
  <c r="P206" i="3"/>
  <c r="C207" i="3"/>
  <c r="D207" i="3"/>
  <c r="E207" i="3"/>
  <c r="F207" i="3"/>
  <c r="G207" i="3"/>
  <c r="H207" i="3"/>
  <c r="I207" i="3"/>
  <c r="J207" i="3"/>
  <c r="K207" i="3"/>
  <c r="L207" i="3"/>
  <c r="M207" i="3"/>
  <c r="N207" i="3"/>
  <c r="O207" i="3"/>
  <c r="P207" i="3"/>
  <c r="B206" i="3"/>
  <c r="B205" i="3"/>
  <c r="B204" i="3"/>
  <c r="B203" i="3"/>
  <c r="B201" i="3"/>
  <c r="B200" i="3"/>
  <c r="B199" i="3"/>
  <c r="B198" i="3"/>
  <c r="G26" i="6" l="1"/>
  <c r="D26" i="6"/>
  <c r="D25" i="6"/>
  <c r="G24" i="6"/>
  <c r="D20" i="6"/>
  <c r="G25" i="6"/>
  <c r="G20" i="6"/>
  <c r="D24" i="6"/>
  <c r="B32" i="3"/>
  <c r="B207" i="3" l="1"/>
  <c r="B197" i="3"/>
  <c r="C168" i="3"/>
  <c r="D168" i="3"/>
  <c r="E168" i="3"/>
  <c r="F168" i="3"/>
  <c r="G168" i="3"/>
  <c r="H168" i="3"/>
  <c r="I168" i="3"/>
  <c r="J168" i="3"/>
  <c r="K168" i="3"/>
  <c r="L168" i="3"/>
  <c r="M168" i="3"/>
  <c r="N168" i="3"/>
  <c r="O168" i="3"/>
  <c r="P168" i="3"/>
  <c r="C170" i="3"/>
  <c r="D170" i="3"/>
  <c r="E170" i="3"/>
  <c r="F170" i="3"/>
  <c r="G170" i="3"/>
  <c r="H170" i="3"/>
  <c r="I170" i="3"/>
  <c r="J170" i="3"/>
  <c r="K170" i="3"/>
  <c r="L170" i="3"/>
  <c r="M170" i="3"/>
  <c r="N170" i="3"/>
  <c r="O170" i="3"/>
  <c r="P170" i="3"/>
  <c r="C171" i="3"/>
  <c r="D171" i="3"/>
  <c r="E171" i="3"/>
  <c r="F171" i="3"/>
  <c r="G171" i="3"/>
  <c r="H171" i="3"/>
  <c r="I171" i="3"/>
  <c r="J171" i="3"/>
  <c r="K171" i="3"/>
  <c r="L171" i="3"/>
  <c r="M171" i="3"/>
  <c r="N171" i="3"/>
  <c r="O171" i="3"/>
  <c r="P171" i="3"/>
  <c r="C173" i="3"/>
  <c r="D173" i="3"/>
  <c r="E173" i="3"/>
  <c r="F173" i="3"/>
  <c r="G173" i="3"/>
  <c r="H173" i="3"/>
  <c r="I173" i="3"/>
  <c r="J173" i="3"/>
  <c r="K173" i="3"/>
  <c r="L173" i="3"/>
  <c r="M173" i="3"/>
  <c r="N173" i="3"/>
  <c r="O173" i="3"/>
  <c r="P173" i="3"/>
  <c r="C174" i="3"/>
  <c r="D174" i="3"/>
  <c r="E174" i="3"/>
  <c r="F174" i="3"/>
  <c r="G174" i="3"/>
  <c r="H174" i="3"/>
  <c r="I174" i="3"/>
  <c r="J174" i="3"/>
  <c r="K174" i="3"/>
  <c r="L174" i="3"/>
  <c r="M174" i="3"/>
  <c r="N174" i="3"/>
  <c r="O174" i="3"/>
  <c r="P174" i="3"/>
  <c r="C175" i="3"/>
  <c r="D175" i="3"/>
  <c r="E175" i="3"/>
  <c r="F175" i="3"/>
  <c r="G175" i="3"/>
  <c r="H175" i="3"/>
  <c r="I175" i="3"/>
  <c r="J175" i="3"/>
  <c r="K175" i="3"/>
  <c r="L175" i="3"/>
  <c r="M175" i="3"/>
  <c r="N175" i="3"/>
  <c r="O175" i="3"/>
  <c r="P175" i="3"/>
  <c r="C176" i="3"/>
  <c r="D176" i="3"/>
  <c r="E176" i="3"/>
  <c r="F176" i="3"/>
  <c r="G176" i="3"/>
  <c r="H176" i="3"/>
  <c r="I176" i="3"/>
  <c r="J176" i="3"/>
  <c r="K176" i="3"/>
  <c r="L176" i="3"/>
  <c r="M176" i="3"/>
  <c r="N176" i="3"/>
  <c r="O176" i="3"/>
  <c r="P176" i="3"/>
  <c r="C177" i="3"/>
  <c r="D177" i="3"/>
  <c r="E177" i="3"/>
  <c r="F177" i="3"/>
  <c r="G177" i="3"/>
  <c r="H177" i="3"/>
  <c r="I177" i="3"/>
  <c r="J177" i="3"/>
  <c r="K177" i="3"/>
  <c r="L177" i="3"/>
  <c r="M177" i="3"/>
  <c r="N177" i="3"/>
  <c r="O177" i="3"/>
  <c r="P177" i="3"/>
  <c r="C179" i="3"/>
  <c r="D179" i="3"/>
  <c r="E179" i="3"/>
  <c r="F179" i="3"/>
  <c r="G179" i="3"/>
  <c r="H179" i="3"/>
  <c r="I179" i="3"/>
  <c r="J179" i="3"/>
  <c r="K179" i="3"/>
  <c r="L179" i="3"/>
  <c r="M179" i="3"/>
  <c r="N179" i="3"/>
  <c r="O179" i="3"/>
  <c r="P179" i="3"/>
  <c r="C180" i="3"/>
  <c r="D180" i="3"/>
  <c r="E180" i="3"/>
  <c r="F180" i="3"/>
  <c r="G180" i="3"/>
  <c r="H180" i="3"/>
  <c r="I180" i="3"/>
  <c r="J180" i="3"/>
  <c r="K180" i="3"/>
  <c r="L180" i="3"/>
  <c r="M180" i="3"/>
  <c r="N180" i="3"/>
  <c r="O180" i="3"/>
  <c r="P180" i="3"/>
  <c r="C181" i="3"/>
  <c r="D181" i="3"/>
  <c r="E181" i="3"/>
  <c r="F181" i="3"/>
  <c r="G181" i="3"/>
  <c r="H181" i="3"/>
  <c r="I181" i="3"/>
  <c r="J181" i="3"/>
  <c r="K181" i="3"/>
  <c r="L181" i="3"/>
  <c r="M181" i="3"/>
  <c r="N181" i="3"/>
  <c r="O181" i="3"/>
  <c r="P181" i="3"/>
  <c r="C182" i="3"/>
  <c r="D182" i="3"/>
  <c r="E182" i="3"/>
  <c r="F182" i="3"/>
  <c r="G182" i="3"/>
  <c r="H182" i="3"/>
  <c r="I182" i="3"/>
  <c r="J182" i="3"/>
  <c r="K182" i="3"/>
  <c r="L182" i="3"/>
  <c r="M182" i="3"/>
  <c r="N182" i="3"/>
  <c r="O182" i="3"/>
  <c r="P182" i="3"/>
  <c r="C183" i="3"/>
  <c r="D183" i="3"/>
  <c r="E183" i="3"/>
  <c r="F183" i="3"/>
  <c r="G183" i="3"/>
  <c r="H183" i="3"/>
  <c r="I183" i="3"/>
  <c r="J183" i="3"/>
  <c r="K183" i="3"/>
  <c r="L183" i="3"/>
  <c r="M183" i="3"/>
  <c r="N183" i="3"/>
  <c r="O183" i="3"/>
  <c r="P183" i="3"/>
  <c r="B180" i="3"/>
  <c r="B181" i="3"/>
  <c r="B182" i="3"/>
  <c r="B183" i="3"/>
  <c r="B179" i="3"/>
  <c r="B174" i="3"/>
  <c r="B175" i="3"/>
  <c r="B176" i="3"/>
  <c r="B177" i="3"/>
  <c r="B173" i="3"/>
  <c r="B171" i="3"/>
  <c r="B170" i="3"/>
  <c r="B168" i="3"/>
  <c r="C122" i="3"/>
  <c r="D122" i="3"/>
  <c r="E122" i="3"/>
  <c r="F122" i="3"/>
  <c r="G122" i="3"/>
  <c r="H122" i="3"/>
  <c r="I122" i="3"/>
  <c r="J122" i="3"/>
  <c r="K122" i="3"/>
  <c r="L122" i="3"/>
  <c r="M122" i="3"/>
  <c r="N122" i="3"/>
  <c r="O122" i="3"/>
  <c r="P122" i="3"/>
  <c r="C123" i="3"/>
  <c r="D123" i="3"/>
  <c r="E123" i="3"/>
  <c r="F123" i="3"/>
  <c r="G123" i="3"/>
  <c r="H123" i="3"/>
  <c r="I123" i="3"/>
  <c r="J123" i="3"/>
  <c r="K123" i="3"/>
  <c r="L123" i="3"/>
  <c r="M123" i="3"/>
  <c r="N123" i="3"/>
  <c r="O123" i="3"/>
  <c r="P123" i="3"/>
  <c r="C124" i="3"/>
  <c r="D124" i="3"/>
  <c r="E124" i="3"/>
  <c r="F124" i="3"/>
  <c r="G124" i="3"/>
  <c r="H124" i="3"/>
  <c r="I124" i="3"/>
  <c r="J124" i="3"/>
  <c r="K124" i="3"/>
  <c r="L124" i="3"/>
  <c r="M124" i="3"/>
  <c r="N124" i="3"/>
  <c r="O124" i="3"/>
  <c r="P124" i="3"/>
  <c r="C125" i="3"/>
  <c r="D125" i="3"/>
  <c r="E125" i="3"/>
  <c r="F125" i="3"/>
  <c r="G125" i="3"/>
  <c r="H125" i="3"/>
  <c r="I125" i="3"/>
  <c r="J125" i="3"/>
  <c r="K125" i="3"/>
  <c r="L125" i="3"/>
  <c r="M125" i="3"/>
  <c r="N125" i="3"/>
  <c r="O125" i="3"/>
  <c r="P125" i="3"/>
  <c r="C126" i="3"/>
  <c r="D126" i="3"/>
  <c r="E126" i="3"/>
  <c r="F126" i="3"/>
  <c r="G126" i="3"/>
  <c r="H126" i="3"/>
  <c r="I126" i="3"/>
  <c r="J126" i="3"/>
  <c r="K126" i="3"/>
  <c r="L126" i="3"/>
  <c r="M126" i="3"/>
  <c r="N126" i="3"/>
  <c r="O126" i="3"/>
  <c r="P126" i="3"/>
  <c r="C127" i="3"/>
  <c r="D127" i="3"/>
  <c r="E127" i="3"/>
  <c r="F127" i="3"/>
  <c r="G127" i="3"/>
  <c r="H127" i="3"/>
  <c r="I127" i="3"/>
  <c r="J127" i="3"/>
  <c r="K127" i="3"/>
  <c r="L127" i="3"/>
  <c r="M127" i="3"/>
  <c r="N127" i="3"/>
  <c r="O127" i="3"/>
  <c r="P127" i="3"/>
  <c r="C128" i="3"/>
  <c r="D128" i="3"/>
  <c r="E128" i="3"/>
  <c r="F128" i="3"/>
  <c r="G128" i="3"/>
  <c r="H128" i="3"/>
  <c r="I128" i="3"/>
  <c r="J128" i="3"/>
  <c r="K128" i="3"/>
  <c r="L128" i="3"/>
  <c r="M128" i="3"/>
  <c r="N128" i="3"/>
  <c r="O128" i="3"/>
  <c r="P128" i="3"/>
  <c r="C129" i="3"/>
  <c r="D129" i="3"/>
  <c r="E129" i="3"/>
  <c r="F129" i="3"/>
  <c r="G129" i="3"/>
  <c r="H129" i="3"/>
  <c r="I129" i="3"/>
  <c r="J129" i="3"/>
  <c r="K129" i="3"/>
  <c r="L129" i="3"/>
  <c r="M129" i="3"/>
  <c r="N129" i="3"/>
  <c r="O129" i="3"/>
  <c r="P129" i="3"/>
  <c r="C131" i="3"/>
  <c r="D131" i="3"/>
  <c r="E131" i="3"/>
  <c r="F131" i="3"/>
  <c r="G131" i="3"/>
  <c r="H131" i="3"/>
  <c r="I131" i="3"/>
  <c r="J131" i="3"/>
  <c r="K131" i="3"/>
  <c r="L131" i="3"/>
  <c r="M131" i="3"/>
  <c r="N131" i="3"/>
  <c r="O131" i="3"/>
  <c r="P131" i="3"/>
  <c r="C132" i="3"/>
  <c r="D132" i="3"/>
  <c r="E132" i="3"/>
  <c r="F132" i="3"/>
  <c r="G132" i="3"/>
  <c r="H132" i="3"/>
  <c r="I132" i="3"/>
  <c r="J132" i="3"/>
  <c r="K132" i="3"/>
  <c r="L132" i="3"/>
  <c r="M132" i="3"/>
  <c r="N132" i="3"/>
  <c r="O132" i="3"/>
  <c r="P132" i="3"/>
  <c r="C133" i="3"/>
  <c r="D133" i="3"/>
  <c r="E133" i="3"/>
  <c r="F133" i="3"/>
  <c r="G133" i="3"/>
  <c r="H133" i="3"/>
  <c r="I133" i="3"/>
  <c r="J133" i="3"/>
  <c r="K133" i="3"/>
  <c r="L133" i="3"/>
  <c r="M133" i="3"/>
  <c r="N133" i="3"/>
  <c r="O133" i="3"/>
  <c r="P133" i="3"/>
  <c r="C134" i="3"/>
  <c r="D134" i="3"/>
  <c r="E134" i="3"/>
  <c r="F134" i="3"/>
  <c r="G134" i="3"/>
  <c r="H134" i="3"/>
  <c r="I134" i="3"/>
  <c r="J134" i="3"/>
  <c r="K134" i="3"/>
  <c r="L134" i="3"/>
  <c r="M134" i="3"/>
  <c r="N134" i="3"/>
  <c r="O134" i="3"/>
  <c r="P134" i="3"/>
  <c r="C135" i="3"/>
  <c r="D135" i="3"/>
  <c r="E135" i="3"/>
  <c r="F135" i="3"/>
  <c r="G135" i="3"/>
  <c r="H135" i="3"/>
  <c r="I135" i="3"/>
  <c r="J135" i="3"/>
  <c r="K135" i="3"/>
  <c r="L135" i="3"/>
  <c r="M135" i="3"/>
  <c r="N135" i="3"/>
  <c r="O135" i="3"/>
  <c r="P135" i="3"/>
  <c r="C136" i="3"/>
  <c r="D136" i="3"/>
  <c r="E136" i="3"/>
  <c r="F136" i="3"/>
  <c r="G136" i="3"/>
  <c r="H136" i="3"/>
  <c r="I136" i="3"/>
  <c r="J136" i="3"/>
  <c r="K136" i="3"/>
  <c r="L136" i="3"/>
  <c r="M136" i="3"/>
  <c r="N136" i="3"/>
  <c r="O136" i="3"/>
  <c r="P136" i="3"/>
  <c r="C137" i="3"/>
  <c r="D137" i="3"/>
  <c r="E137" i="3"/>
  <c r="F137" i="3"/>
  <c r="G137" i="3"/>
  <c r="H137" i="3"/>
  <c r="I137" i="3"/>
  <c r="J137" i="3"/>
  <c r="K137" i="3"/>
  <c r="L137" i="3"/>
  <c r="M137" i="3"/>
  <c r="N137" i="3"/>
  <c r="O137" i="3"/>
  <c r="P137" i="3"/>
  <c r="C138" i="3"/>
  <c r="D138" i="3"/>
  <c r="E138" i="3"/>
  <c r="F138" i="3"/>
  <c r="G138" i="3"/>
  <c r="H138" i="3"/>
  <c r="I138" i="3"/>
  <c r="J138" i="3"/>
  <c r="K138" i="3"/>
  <c r="L138" i="3"/>
  <c r="M138" i="3"/>
  <c r="N138" i="3"/>
  <c r="O138" i="3"/>
  <c r="P138" i="3"/>
  <c r="C143" i="3"/>
  <c r="D143" i="3"/>
  <c r="E143" i="3"/>
  <c r="F143" i="3"/>
  <c r="G143" i="3"/>
  <c r="H143" i="3"/>
  <c r="I143" i="3"/>
  <c r="J143" i="3"/>
  <c r="K143" i="3"/>
  <c r="L143" i="3"/>
  <c r="M143" i="3"/>
  <c r="N143" i="3"/>
  <c r="O143" i="3"/>
  <c r="P143" i="3"/>
  <c r="C144" i="3"/>
  <c r="D144" i="3"/>
  <c r="E144" i="3"/>
  <c r="F144" i="3"/>
  <c r="G144" i="3"/>
  <c r="H144" i="3"/>
  <c r="I144" i="3"/>
  <c r="J144" i="3"/>
  <c r="K144" i="3"/>
  <c r="L144" i="3"/>
  <c r="M144" i="3"/>
  <c r="N144" i="3"/>
  <c r="O144" i="3"/>
  <c r="P144" i="3"/>
  <c r="C145" i="3"/>
  <c r="D145" i="3"/>
  <c r="E145" i="3"/>
  <c r="F145" i="3"/>
  <c r="G145" i="3"/>
  <c r="H145" i="3"/>
  <c r="I145" i="3"/>
  <c r="J145" i="3"/>
  <c r="K145" i="3"/>
  <c r="L145" i="3"/>
  <c r="M145" i="3"/>
  <c r="N145" i="3"/>
  <c r="O145" i="3"/>
  <c r="P145" i="3"/>
  <c r="C146" i="3"/>
  <c r="D146" i="3"/>
  <c r="E146" i="3"/>
  <c r="F146" i="3"/>
  <c r="G146" i="3"/>
  <c r="H146" i="3"/>
  <c r="I146" i="3"/>
  <c r="J146" i="3"/>
  <c r="K146" i="3"/>
  <c r="L146" i="3"/>
  <c r="M146" i="3"/>
  <c r="N146" i="3"/>
  <c r="O146" i="3"/>
  <c r="P146" i="3"/>
  <c r="C147" i="3"/>
  <c r="D147" i="3"/>
  <c r="E147" i="3"/>
  <c r="F147" i="3"/>
  <c r="G147" i="3"/>
  <c r="H147" i="3"/>
  <c r="I147" i="3"/>
  <c r="J147" i="3"/>
  <c r="K147" i="3"/>
  <c r="L147" i="3"/>
  <c r="M147" i="3"/>
  <c r="N147" i="3"/>
  <c r="O147" i="3"/>
  <c r="P147" i="3"/>
  <c r="C148" i="3"/>
  <c r="D148" i="3"/>
  <c r="E148" i="3"/>
  <c r="F148" i="3"/>
  <c r="G148" i="3"/>
  <c r="H148" i="3"/>
  <c r="I148" i="3"/>
  <c r="J148" i="3"/>
  <c r="K148" i="3"/>
  <c r="L148" i="3"/>
  <c r="M148" i="3"/>
  <c r="N148" i="3"/>
  <c r="O148" i="3"/>
  <c r="P148" i="3"/>
  <c r="C149" i="3"/>
  <c r="D149" i="3"/>
  <c r="E149" i="3"/>
  <c r="F149" i="3"/>
  <c r="G149" i="3"/>
  <c r="H149" i="3"/>
  <c r="I149" i="3"/>
  <c r="J149" i="3"/>
  <c r="K149" i="3"/>
  <c r="L149" i="3"/>
  <c r="M149" i="3"/>
  <c r="N149" i="3"/>
  <c r="O149" i="3"/>
  <c r="P149" i="3"/>
  <c r="C150" i="3"/>
  <c r="D150" i="3"/>
  <c r="E150" i="3"/>
  <c r="F150" i="3"/>
  <c r="G150" i="3"/>
  <c r="H150" i="3"/>
  <c r="I150" i="3"/>
  <c r="J150" i="3"/>
  <c r="K150" i="3"/>
  <c r="L150" i="3"/>
  <c r="M150" i="3"/>
  <c r="N150" i="3"/>
  <c r="O150" i="3"/>
  <c r="P150" i="3"/>
  <c r="B144" i="3"/>
  <c r="B145" i="3"/>
  <c r="B146" i="3"/>
  <c r="B147" i="3"/>
  <c r="B148" i="3"/>
  <c r="B149" i="3"/>
  <c r="B150" i="3"/>
  <c r="B143" i="3"/>
  <c r="B132" i="3"/>
  <c r="B133" i="3"/>
  <c r="B134" i="3"/>
  <c r="B135" i="3"/>
  <c r="B136" i="3"/>
  <c r="B137" i="3"/>
  <c r="B138" i="3"/>
  <c r="B131" i="3"/>
  <c r="B124" i="3"/>
  <c r="B125" i="3"/>
  <c r="B126" i="3"/>
  <c r="B127" i="3"/>
  <c r="B128" i="3"/>
  <c r="B129" i="3"/>
  <c r="B123" i="3"/>
  <c r="B122" i="3"/>
  <c r="C120" i="3"/>
  <c r="D120" i="3"/>
  <c r="E120" i="3"/>
  <c r="F120" i="3"/>
  <c r="G120" i="3"/>
  <c r="H120" i="3"/>
  <c r="I120" i="3"/>
  <c r="J120" i="3"/>
  <c r="K120" i="3"/>
  <c r="L120" i="3"/>
  <c r="M120" i="3"/>
  <c r="N120" i="3"/>
  <c r="O120" i="3"/>
  <c r="P120" i="3"/>
  <c r="B120" i="3"/>
  <c r="M59" i="3"/>
  <c r="N59" i="3"/>
  <c r="O59" i="3"/>
  <c r="P59" i="3"/>
  <c r="M61" i="3"/>
  <c r="N61" i="3"/>
  <c r="O61" i="3"/>
  <c r="P61" i="3"/>
  <c r="M62" i="3"/>
  <c r="N62" i="3"/>
  <c r="O62" i="3"/>
  <c r="P62" i="3"/>
  <c r="M63" i="3"/>
  <c r="N63" i="3"/>
  <c r="O63" i="3"/>
  <c r="P63" i="3"/>
  <c r="M64" i="3"/>
  <c r="N64" i="3"/>
  <c r="O64" i="3"/>
  <c r="P64" i="3"/>
  <c r="M65" i="3"/>
  <c r="N65" i="3"/>
  <c r="O65" i="3"/>
  <c r="P65" i="3"/>
  <c r="M66" i="3"/>
  <c r="N66" i="3"/>
  <c r="O66" i="3"/>
  <c r="P66" i="3"/>
  <c r="M67" i="3"/>
  <c r="N67" i="3"/>
  <c r="O67" i="3"/>
  <c r="P67" i="3"/>
  <c r="M69" i="3"/>
  <c r="N69" i="3"/>
  <c r="O69" i="3"/>
  <c r="P69" i="3"/>
  <c r="M70" i="3"/>
  <c r="N70" i="3"/>
  <c r="O70" i="3"/>
  <c r="P70" i="3"/>
  <c r="M71" i="3"/>
  <c r="N71" i="3"/>
  <c r="O71" i="3"/>
  <c r="P71" i="3"/>
  <c r="M72" i="3"/>
  <c r="N72" i="3"/>
  <c r="O72" i="3"/>
  <c r="P72" i="3"/>
  <c r="M73" i="3"/>
  <c r="N73" i="3"/>
  <c r="O73" i="3"/>
  <c r="P73" i="3"/>
  <c r="M74" i="3"/>
  <c r="N74" i="3"/>
  <c r="O74" i="3"/>
  <c r="P74" i="3"/>
  <c r="M75" i="3"/>
  <c r="N75" i="3"/>
  <c r="O75" i="3"/>
  <c r="P75" i="3"/>
  <c r="M76" i="3"/>
  <c r="N76" i="3"/>
  <c r="O76" i="3"/>
  <c r="P76" i="3"/>
  <c r="M78" i="3"/>
  <c r="N78" i="3"/>
  <c r="O78" i="3"/>
  <c r="P78" i="3"/>
  <c r="M79" i="3"/>
  <c r="N79" i="3"/>
  <c r="O79" i="3"/>
  <c r="P79" i="3"/>
  <c r="M80" i="3"/>
  <c r="N80" i="3"/>
  <c r="O80" i="3"/>
  <c r="P80" i="3"/>
  <c r="M81" i="3"/>
  <c r="N81" i="3"/>
  <c r="O81" i="3"/>
  <c r="P81" i="3"/>
  <c r="M82" i="3"/>
  <c r="N82" i="3"/>
  <c r="O82" i="3"/>
  <c r="P82" i="3"/>
  <c r="M83" i="3"/>
  <c r="N83" i="3"/>
  <c r="O83" i="3"/>
  <c r="P83" i="3"/>
  <c r="M84" i="3"/>
  <c r="N84" i="3"/>
  <c r="O84" i="3"/>
  <c r="P84" i="3"/>
  <c r="M85" i="3"/>
  <c r="N85" i="3"/>
  <c r="O85" i="3"/>
  <c r="P85" i="3"/>
  <c r="C59" i="3"/>
  <c r="D59" i="3"/>
  <c r="E59" i="3"/>
  <c r="F59" i="3"/>
  <c r="G59" i="3"/>
  <c r="H59" i="3"/>
  <c r="I59" i="3"/>
  <c r="J59" i="3"/>
  <c r="K59" i="3"/>
  <c r="L59" i="3"/>
  <c r="C61" i="3"/>
  <c r="D61" i="3"/>
  <c r="E61" i="3"/>
  <c r="F61" i="3"/>
  <c r="G61" i="3"/>
  <c r="H61" i="3"/>
  <c r="I61" i="3"/>
  <c r="J61" i="3"/>
  <c r="K61" i="3"/>
  <c r="L61" i="3"/>
  <c r="C62" i="3"/>
  <c r="D62" i="3"/>
  <c r="E62" i="3"/>
  <c r="F62" i="3"/>
  <c r="G62" i="3"/>
  <c r="H62" i="3"/>
  <c r="I62" i="3"/>
  <c r="J62" i="3"/>
  <c r="K62" i="3"/>
  <c r="L62" i="3"/>
  <c r="C63" i="3"/>
  <c r="D63" i="3"/>
  <c r="E63" i="3"/>
  <c r="F63" i="3"/>
  <c r="G63" i="3"/>
  <c r="H63" i="3"/>
  <c r="I63" i="3"/>
  <c r="J63" i="3"/>
  <c r="K63" i="3"/>
  <c r="L63" i="3"/>
  <c r="C64" i="3"/>
  <c r="D64" i="3"/>
  <c r="E64" i="3"/>
  <c r="F64" i="3"/>
  <c r="G64" i="3"/>
  <c r="H64" i="3"/>
  <c r="I64" i="3"/>
  <c r="J64" i="3"/>
  <c r="K64" i="3"/>
  <c r="L64" i="3"/>
  <c r="C65" i="3"/>
  <c r="D65" i="3"/>
  <c r="E65" i="3"/>
  <c r="F65" i="3"/>
  <c r="G65" i="3"/>
  <c r="H65" i="3"/>
  <c r="I65" i="3"/>
  <c r="J65" i="3"/>
  <c r="K65" i="3"/>
  <c r="L65" i="3"/>
  <c r="D66" i="3"/>
  <c r="E66" i="3"/>
  <c r="F66" i="3"/>
  <c r="G66" i="3"/>
  <c r="H66" i="3"/>
  <c r="I66" i="3"/>
  <c r="J66" i="3"/>
  <c r="K66" i="3"/>
  <c r="L66" i="3"/>
  <c r="C67" i="3"/>
  <c r="D67" i="3"/>
  <c r="E67" i="3"/>
  <c r="F67" i="3"/>
  <c r="G67" i="3"/>
  <c r="H67" i="3"/>
  <c r="I67" i="3"/>
  <c r="J67" i="3"/>
  <c r="K67" i="3"/>
  <c r="L67" i="3"/>
  <c r="C69" i="3"/>
  <c r="D69" i="3"/>
  <c r="E69" i="3"/>
  <c r="F69" i="3"/>
  <c r="G69" i="3"/>
  <c r="H69" i="3"/>
  <c r="I69" i="3"/>
  <c r="J69" i="3"/>
  <c r="K69" i="3"/>
  <c r="L69" i="3"/>
  <c r="C70" i="3"/>
  <c r="D70" i="3"/>
  <c r="E70" i="3"/>
  <c r="F70" i="3"/>
  <c r="G70" i="3"/>
  <c r="H70" i="3"/>
  <c r="I70" i="3"/>
  <c r="J70" i="3"/>
  <c r="K70" i="3"/>
  <c r="L70" i="3"/>
  <c r="C71" i="3"/>
  <c r="D71" i="3"/>
  <c r="E71" i="3"/>
  <c r="F71" i="3"/>
  <c r="G71" i="3"/>
  <c r="H71" i="3"/>
  <c r="I71" i="3"/>
  <c r="J71" i="3"/>
  <c r="K71" i="3"/>
  <c r="L71" i="3"/>
  <c r="C72" i="3"/>
  <c r="D72" i="3"/>
  <c r="E72" i="3"/>
  <c r="F72" i="3"/>
  <c r="G72" i="3"/>
  <c r="H72" i="3"/>
  <c r="I72" i="3"/>
  <c r="J72" i="3"/>
  <c r="K72" i="3"/>
  <c r="L72" i="3"/>
  <c r="C73" i="3"/>
  <c r="D73" i="3"/>
  <c r="E73" i="3"/>
  <c r="F73" i="3"/>
  <c r="G73" i="3"/>
  <c r="H73" i="3"/>
  <c r="I73" i="3"/>
  <c r="J73" i="3"/>
  <c r="K73" i="3"/>
  <c r="L73" i="3"/>
  <c r="C74" i="3"/>
  <c r="D74" i="3"/>
  <c r="E74" i="3"/>
  <c r="F74" i="3"/>
  <c r="G74" i="3"/>
  <c r="H74" i="3"/>
  <c r="I74" i="3"/>
  <c r="J74" i="3"/>
  <c r="K74" i="3"/>
  <c r="L74" i="3"/>
  <c r="C75" i="3"/>
  <c r="D75" i="3"/>
  <c r="E75" i="3"/>
  <c r="F75" i="3"/>
  <c r="G75" i="3"/>
  <c r="H75" i="3"/>
  <c r="I75" i="3"/>
  <c r="J75" i="3"/>
  <c r="K75" i="3"/>
  <c r="L75" i="3"/>
  <c r="C76" i="3"/>
  <c r="D76" i="3"/>
  <c r="E76" i="3"/>
  <c r="F76" i="3"/>
  <c r="G76" i="3"/>
  <c r="H76" i="3"/>
  <c r="I76" i="3"/>
  <c r="J76" i="3"/>
  <c r="K76" i="3"/>
  <c r="L76" i="3"/>
  <c r="C78" i="3"/>
  <c r="D78" i="3"/>
  <c r="E78" i="3"/>
  <c r="F78" i="3"/>
  <c r="G78" i="3"/>
  <c r="H78" i="3"/>
  <c r="I78" i="3"/>
  <c r="J78" i="3"/>
  <c r="K78" i="3"/>
  <c r="L78" i="3"/>
  <c r="C79" i="3"/>
  <c r="D79" i="3"/>
  <c r="E79" i="3"/>
  <c r="F79" i="3"/>
  <c r="G79" i="3"/>
  <c r="H79" i="3"/>
  <c r="I79" i="3"/>
  <c r="J79" i="3"/>
  <c r="K79" i="3"/>
  <c r="L79" i="3"/>
  <c r="C80" i="3"/>
  <c r="D80" i="3"/>
  <c r="E80" i="3"/>
  <c r="F80" i="3"/>
  <c r="G80" i="3"/>
  <c r="H80" i="3"/>
  <c r="I80" i="3"/>
  <c r="J80" i="3"/>
  <c r="K80" i="3"/>
  <c r="L80" i="3"/>
  <c r="C81" i="3"/>
  <c r="D81" i="3"/>
  <c r="E81" i="3"/>
  <c r="F81" i="3"/>
  <c r="G81" i="3"/>
  <c r="H81" i="3"/>
  <c r="I81" i="3"/>
  <c r="J81" i="3"/>
  <c r="K81" i="3"/>
  <c r="L81" i="3"/>
  <c r="C82" i="3"/>
  <c r="D82" i="3"/>
  <c r="E82" i="3"/>
  <c r="F82" i="3"/>
  <c r="G82" i="3"/>
  <c r="H82" i="3"/>
  <c r="I82" i="3"/>
  <c r="J82" i="3"/>
  <c r="K82" i="3"/>
  <c r="L82" i="3"/>
  <c r="C83" i="3"/>
  <c r="D83" i="3"/>
  <c r="E83" i="3"/>
  <c r="F83" i="3"/>
  <c r="G83" i="3"/>
  <c r="H83" i="3"/>
  <c r="I83" i="3"/>
  <c r="J83" i="3"/>
  <c r="K83" i="3"/>
  <c r="L83" i="3"/>
  <c r="C84" i="3"/>
  <c r="D84" i="3"/>
  <c r="E84" i="3"/>
  <c r="F84" i="3"/>
  <c r="G84" i="3"/>
  <c r="H84" i="3"/>
  <c r="I84" i="3"/>
  <c r="J84" i="3"/>
  <c r="K84" i="3"/>
  <c r="L84" i="3"/>
  <c r="C85" i="3"/>
  <c r="D85" i="3"/>
  <c r="E85" i="3"/>
  <c r="F85" i="3"/>
  <c r="G85" i="3"/>
  <c r="H85" i="3"/>
  <c r="I85" i="3"/>
  <c r="J85" i="3"/>
  <c r="K85" i="3"/>
  <c r="L85" i="3"/>
  <c r="B79" i="3"/>
  <c r="B80" i="3"/>
  <c r="B81" i="3"/>
  <c r="B82" i="3"/>
  <c r="B83" i="3"/>
  <c r="B84" i="3"/>
  <c r="B85" i="3"/>
  <c r="B78" i="3"/>
  <c r="B70" i="3"/>
  <c r="B71" i="3"/>
  <c r="B72" i="3"/>
  <c r="B73" i="3"/>
  <c r="B74" i="3"/>
  <c r="B75" i="3"/>
  <c r="B76" i="3"/>
  <c r="B69" i="3"/>
  <c r="B65" i="3"/>
  <c r="B64" i="3"/>
  <c r="B63" i="3"/>
  <c r="B62" i="3"/>
  <c r="B61" i="3"/>
  <c r="C7" i="5"/>
  <c r="F202" i="3" l="1"/>
  <c r="J202" i="3"/>
  <c r="N202" i="3"/>
  <c r="G202" i="3"/>
  <c r="K202" i="3"/>
  <c r="O202" i="3"/>
  <c r="H202" i="3"/>
  <c r="L202" i="3"/>
  <c r="P202" i="3"/>
  <c r="I202" i="3"/>
  <c r="M202" i="3"/>
  <c r="D202" i="3"/>
  <c r="E202" i="3"/>
  <c r="C202" i="3"/>
  <c r="B202" i="3"/>
  <c r="E90" i="5"/>
  <c r="E91" i="5"/>
  <c r="E95" i="5"/>
  <c r="E99" i="5"/>
  <c r="E92" i="5"/>
  <c r="E96" i="5"/>
  <c r="E93" i="5"/>
  <c r="E97" i="5"/>
  <c r="E98" i="5"/>
  <c r="E83" i="5"/>
  <c r="G84" i="5"/>
  <c r="G83" i="5"/>
  <c r="E85" i="5"/>
  <c r="F86" i="5"/>
  <c r="G87" i="5"/>
  <c r="E84" i="5"/>
  <c r="F85" i="5"/>
  <c r="G86" i="5"/>
  <c r="F84" i="5"/>
  <c r="G85" i="5"/>
  <c r="E87" i="5"/>
  <c r="F83" i="5"/>
  <c r="E86" i="5"/>
  <c r="F87" i="5"/>
  <c r="E77" i="5"/>
  <c r="F78" i="5"/>
  <c r="G79" i="5"/>
  <c r="E81" i="5"/>
  <c r="F77" i="5"/>
  <c r="E80" i="5"/>
  <c r="G77" i="5"/>
  <c r="E79" i="5"/>
  <c r="F80" i="5"/>
  <c r="G81" i="5"/>
  <c r="E78" i="5"/>
  <c r="F79" i="5"/>
  <c r="G80" i="5"/>
  <c r="G78" i="5"/>
  <c r="F81" i="5"/>
  <c r="E75" i="5"/>
  <c r="F75" i="5"/>
  <c r="E74" i="5"/>
  <c r="F74" i="5"/>
  <c r="E61" i="5"/>
  <c r="F62" i="5"/>
  <c r="G63" i="5"/>
  <c r="F66" i="5"/>
  <c r="E69" i="5"/>
  <c r="G71" i="5"/>
  <c r="G62" i="5"/>
  <c r="F65" i="5"/>
  <c r="E68" i="5"/>
  <c r="G70" i="5"/>
  <c r="G61" i="5"/>
  <c r="E63" i="5"/>
  <c r="F64" i="5"/>
  <c r="G65" i="5"/>
  <c r="E67" i="5"/>
  <c r="F68" i="5"/>
  <c r="G69" i="5"/>
  <c r="E71" i="5"/>
  <c r="E62" i="5"/>
  <c r="F63" i="5"/>
  <c r="G64" i="5"/>
  <c r="E66" i="5"/>
  <c r="F67" i="5"/>
  <c r="G68" i="5"/>
  <c r="E70" i="5"/>
  <c r="F71" i="5"/>
  <c r="E65" i="5"/>
  <c r="G67" i="5"/>
  <c r="F70" i="5"/>
  <c r="F61" i="5"/>
  <c r="E64" i="5"/>
  <c r="G66" i="5"/>
  <c r="F69" i="5"/>
  <c r="E49" i="5"/>
  <c r="F50" i="5"/>
  <c r="G51" i="5"/>
  <c r="F54" i="5"/>
  <c r="E57" i="5"/>
  <c r="G59" i="5"/>
  <c r="G50" i="5"/>
  <c r="F53" i="5"/>
  <c r="E56" i="5"/>
  <c r="G58" i="5"/>
  <c r="G49" i="5"/>
  <c r="E51" i="5"/>
  <c r="F52" i="5"/>
  <c r="G53" i="5"/>
  <c r="E55" i="5"/>
  <c r="F56" i="5"/>
  <c r="G57" i="5"/>
  <c r="E59" i="5"/>
  <c r="E50" i="5"/>
  <c r="F51" i="5"/>
  <c r="G52" i="5"/>
  <c r="E54" i="5"/>
  <c r="F55" i="5"/>
  <c r="G56" i="5"/>
  <c r="E58" i="5"/>
  <c r="F59" i="5"/>
  <c r="E53" i="5"/>
  <c r="G55" i="5"/>
  <c r="F58" i="5"/>
  <c r="F49" i="5"/>
  <c r="E52" i="5"/>
  <c r="G54" i="5"/>
  <c r="F57" i="5"/>
  <c r="E40" i="5"/>
  <c r="E41" i="5"/>
  <c r="E45" i="5"/>
  <c r="E42" i="5"/>
  <c r="E46" i="5"/>
  <c r="E43" i="5"/>
  <c r="E47" i="5"/>
  <c r="E44" i="5"/>
  <c r="E30" i="5"/>
  <c r="E34" i="5"/>
  <c r="G31" i="5"/>
  <c r="G35" i="5"/>
  <c r="G30" i="5"/>
  <c r="E32" i="5"/>
  <c r="F33" i="5"/>
  <c r="G34" i="5"/>
  <c r="E36" i="5"/>
  <c r="F37" i="5"/>
  <c r="E31" i="5"/>
  <c r="F32" i="5"/>
  <c r="G33" i="5"/>
  <c r="E35" i="5"/>
  <c r="F36" i="5"/>
  <c r="G37" i="5"/>
  <c r="F31" i="5"/>
  <c r="G32" i="5"/>
  <c r="F35" i="5"/>
  <c r="G36" i="5"/>
  <c r="F30" i="5"/>
  <c r="E33" i="5"/>
  <c r="F34" i="5"/>
  <c r="E37" i="5"/>
  <c r="E21" i="5"/>
  <c r="E25" i="5"/>
  <c r="G27" i="5"/>
  <c r="G22" i="5"/>
  <c r="F25" i="5"/>
  <c r="G21" i="5"/>
  <c r="E23" i="5"/>
  <c r="F24" i="5"/>
  <c r="G25" i="5"/>
  <c r="E27" i="5"/>
  <c r="F28" i="5"/>
  <c r="E22" i="5"/>
  <c r="F23" i="5"/>
  <c r="G24" i="5"/>
  <c r="E26" i="5"/>
  <c r="F27" i="5"/>
  <c r="G28" i="5"/>
  <c r="F22" i="5"/>
  <c r="G23" i="5"/>
  <c r="F26" i="5"/>
  <c r="F21" i="5"/>
  <c r="E24" i="5"/>
  <c r="G26" i="5"/>
  <c r="E28" i="5"/>
  <c r="E13" i="5"/>
  <c r="F17" i="5"/>
  <c r="G13" i="5"/>
  <c r="E15" i="5"/>
  <c r="F16" i="5"/>
  <c r="G17" i="5"/>
  <c r="E19" i="5"/>
  <c r="E14" i="5"/>
  <c r="F15" i="5"/>
  <c r="G16" i="5"/>
  <c r="E18" i="5"/>
  <c r="F19" i="5"/>
  <c r="F14" i="5"/>
  <c r="G15" i="5"/>
  <c r="E17" i="5"/>
  <c r="F18" i="5"/>
  <c r="G19" i="5"/>
  <c r="F13" i="5"/>
  <c r="G14" i="5"/>
  <c r="E16" i="5"/>
  <c r="G18" i="5"/>
  <c r="D81" i="5"/>
  <c r="D80" i="5"/>
  <c r="D79" i="5"/>
  <c r="D78" i="5"/>
  <c r="D77" i="5"/>
  <c r="D59" i="5"/>
  <c r="D58" i="5"/>
  <c r="D57" i="5"/>
  <c r="D56" i="5"/>
  <c r="D55" i="5"/>
  <c r="D54" i="5"/>
  <c r="D53" i="5"/>
  <c r="D52" i="5"/>
  <c r="D51" i="5"/>
  <c r="D50" i="5"/>
  <c r="D49" i="5"/>
  <c r="D28" i="5"/>
  <c r="D27" i="5"/>
  <c r="D26" i="5"/>
  <c r="D25" i="5"/>
  <c r="D23" i="5"/>
  <c r="D24" i="5"/>
  <c r="D22" i="5"/>
  <c r="D21" i="5"/>
  <c r="D87" i="5"/>
  <c r="D86" i="5"/>
  <c r="D85" i="5"/>
  <c r="D84" i="5"/>
  <c r="D83" i="5"/>
  <c r="D71" i="5"/>
  <c r="D70" i="5"/>
  <c r="D69" i="5"/>
  <c r="D68" i="5"/>
  <c r="D67" i="5"/>
  <c r="D66" i="5"/>
  <c r="D65" i="5"/>
  <c r="D64" i="5"/>
  <c r="D63" i="5"/>
  <c r="D62" i="5"/>
  <c r="D61" i="5"/>
  <c r="D37" i="5"/>
  <c r="D36" i="5"/>
  <c r="D35" i="5"/>
  <c r="D34" i="5"/>
  <c r="D33" i="5"/>
  <c r="D32" i="5"/>
  <c r="D31" i="5"/>
  <c r="D30" i="5"/>
  <c r="C30" i="5" s="1"/>
  <c r="D40" i="5"/>
  <c r="E25" i="2"/>
  <c r="F25" i="2"/>
  <c r="D25" i="2"/>
  <c r="D13" i="5"/>
  <c r="D99" i="5"/>
  <c r="G95" i="5"/>
  <c r="G99" i="5"/>
  <c r="G90" i="5"/>
  <c r="F93" i="5"/>
  <c r="F97" i="5"/>
  <c r="F92" i="5"/>
  <c r="G93" i="5"/>
  <c r="F96" i="5"/>
  <c r="G97" i="5"/>
  <c r="F91" i="5"/>
  <c r="G92" i="5"/>
  <c r="F95" i="5"/>
  <c r="G96" i="5"/>
  <c r="F99" i="5"/>
  <c r="F90" i="5"/>
  <c r="G91" i="5"/>
  <c r="F98" i="5"/>
  <c r="G98" i="5"/>
  <c r="D97" i="5"/>
  <c r="D98" i="5"/>
  <c r="D95" i="5"/>
  <c r="D96" i="5"/>
  <c r="D93" i="5"/>
  <c r="D91" i="5"/>
  <c r="D92" i="5"/>
  <c r="D90" i="5"/>
  <c r="G75" i="5"/>
  <c r="G74" i="5"/>
  <c r="D74" i="5"/>
  <c r="D75" i="5"/>
  <c r="H70" i="5"/>
  <c r="H87" i="5"/>
  <c r="H86" i="5"/>
  <c r="H84" i="5"/>
  <c r="H85" i="5"/>
  <c r="H81" i="5"/>
  <c r="H83" i="5"/>
  <c r="H80" i="5"/>
  <c r="H79" i="5"/>
  <c r="H77" i="5"/>
  <c r="H78" i="5"/>
  <c r="H75" i="5"/>
  <c r="H74" i="5"/>
  <c r="F42" i="5"/>
  <c r="G43" i="5"/>
  <c r="F46" i="5"/>
  <c r="G47" i="5"/>
  <c r="G41" i="5"/>
  <c r="F44" i="5"/>
  <c r="G45" i="5"/>
  <c r="F43" i="5"/>
  <c r="F47" i="5"/>
  <c r="F41" i="5"/>
  <c r="G42" i="5"/>
  <c r="F45" i="5"/>
  <c r="G46" i="5"/>
  <c r="G44" i="5"/>
  <c r="D46" i="5"/>
  <c r="D47" i="5"/>
  <c r="D45" i="5"/>
  <c r="D43" i="5"/>
  <c r="D44" i="5"/>
  <c r="D42" i="5"/>
  <c r="F40" i="5"/>
  <c r="G40" i="5"/>
  <c r="D41" i="5"/>
  <c r="H71" i="5"/>
  <c r="H69" i="5"/>
  <c r="H68" i="5"/>
  <c r="H66" i="5"/>
  <c r="H67" i="5"/>
  <c r="H64" i="5"/>
  <c r="H65" i="5"/>
  <c r="H62" i="5"/>
  <c r="H63" i="5"/>
  <c r="H59" i="5"/>
  <c r="H61" i="5"/>
  <c r="H58" i="5"/>
  <c r="H57" i="5"/>
  <c r="H55" i="5"/>
  <c r="H56" i="5"/>
  <c r="H54" i="5"/>
  <c r="H53" i="5"/>
  <c r="H52" i="5"/>
  <c r="H50" i="5"/>
  <c r="H51" i="5"/>
  <c r="H49" i="5"/>
  <c r="H46" i="5"/>
  <c r="H47" i="5"/>
  <c r="H45" i="5"/>
  <c r="H43" i="5"/>
  <c r="H44" i="5"/>
  <c r="H42" i="5"/>
  <c r="H41" i="5"/>
  <c r="H36" i="5"/>
  <c r="H37" i="5"/>
  <c r="H34" i="5"/>
  <c r="H35" i="5"/>
  <c r="H32" i="5"/>
  <c r="H33" i="5"/>
  <c r="H31" i="5"/>
  <c r="H28" i="5"/>
  <c r="H30" i="5"/>
  <c r="H27" i="5"/>
  <c r="H26" i="5"/>
  <c r="H24" i="5"/>
  <c r="H25" i="5"/>
  <c r="H23" i="5"/>
  <c r="H21" i="5"/>
  <c r="H22" i="5"/>
  <c r="H19" i="5"/>
  <c r="H18" i="5"/>
  <c r="H16" i="5"/>
  <c r="H17" i="5"/>
  <c r="H15" i="5"/>
  <c r="H14" i="5"/>
  <c r="H13" i="5"/>
  <c r="D19" i="5"/>
  <c r="D18" i="5"/>
  <c r="D16" i="5"/>
  <c r="D17" i="5"/>
  <c r="D15" i="5"/>
  <c r="D14" i="5"/>
  <c r="H11" i="5"/>
  <c r="C22" i="5" l="1"/>
  <c r="C62" i="5"/>
  <c r="C13" i="5"/>
  <c r="C93" i="5"/>
  <c r="C33" i="5"/>
  <c r="C59" i="5"/>
  <c r="C58" i="5"/>
  <c r="C52" i="5"/>
  <c r="C36" i="5"/>
  <c r="C80" i="5"/>
  <c r="C65" i="5"/>
  <c r="C78" i="5"/>
  <c r="C64" i="5"/>
  <c r="C85" i="5"/>
  <c r="C54" i="5"/>
  <c r="C83" i="5"/>
  <c r="C24" i="5"/>
  <c r="C21" i="5"/>
  <c r="C74" i="5"/>
  <c r="C66" i="5"/>
  <c r="C28" i="5"/>
  <c r="C37" i="5"/>
  <c r="C56" i="5"/>
  <c r="C51" i="5"/>
  <c r="C68" i="5"/>
  <c r="C79" i="5"/>
  <c r="C81" i="5"/>
  <c r="C67" i="5"/>
  <c r="C32" i="5"/>
  <c r="C63" i="5"/>
  <c r="C86" i="5"/>
  <c r="C27" i="5"/>
  <c r="C55" i="5"/>
  <c r="C18" i="5"/>
  <c r="C23" i="5"/>
  <c r="C17" i="5"/>
  <c r="C31" i="5"/>
  <c r="C35" i="5"/>
  <c r="C70" i="5"/>
  <c r="C26" i="5"/>
  <c r="C50" i="5"/>
  <c r="C19" i="5"/>
  <c r="C41" i="5"/>
  <c r="C75" i="5"/>
  <c r="C34" i="5"/>
  <c r="C61" i="5"/>
  <c r="C69" i="5"/>
  <c r="C84" i="5"/>
  <c r="C53" i="5"/>
  <c r="C16" i="5"/>
  <c r="C71" i="5"/>
  <c r="C14" i="5"/>
  <c r="C87" i="5"/>
  <c r="C77" i="5"/>
  <c r="C15" i="5"/>
  <c r="C25" i="5"/>
  <c r="C49" i="5"/>
  <c r="C57" i="5"/>
  <c r="G94" i="5"/>
  <c r="D94" i="5"/>
  <c r="F94" i="5"/>
  <c r="E94" i="5"/>
  <c r="C92" i="5"/>
  <c r="C96" i="5"/>
  <c r="C98" i="5"/>
  <c r="C97" i="5"/>
  <c r="C95" i="5"/>
  <c r="C91" i="5"/>
  <c r="C90" i="5"/>
  <c r="C46" i="5"/>
  <c r="C42" i="5"/>
  <c r="C47" i="5"/>
  <c r="C45" i="5"/>
  <c r="C44" i="5"/>
  <c r="C43" i="5"/>
  <c r="C11" i="2"/>
  <c r="C25" i="2" l="1"/>
  <c r="C94" i="5"/>
  <c r="C26" i="3"/>
  <c r="D26" i="3"/>
  <c r="E26" i="3"/>
  <c r="F26" i="3"/>
  <c r="G26" i="3"/>
  <c r="H26" i="3"/>
  <c r="I26" i="3"/>
  <c r="J26" i="3"/>
  <c r="K26" i="3"/>
  <c r="L26" i="3"/>
  <c r="M26" i="3"/>
  <c r="N26" i="3"/>
  <c r="O26" i="3"/>
  <c r="P26" i="3"/>
  <c r="B26" i="3"/>
  <c r="B7" i="2"/>
  <c r="C34" i="3"/>
  <c r="D34" i="3"/>
  <c r="E34" i="3"/>
  <c r="F34" i="3"/>
  <c r="G34" i="3"/>
  <c r="H34" i="3"/>
  <c r="I34" i="3"/>
  <c r="J34" i="3"/>
  <c r="K34" i="3"/>
  <c r="L34" i="3"/>
  <c r="M34" i="3"/>
  <c r="N34" i="3"/>
  <c r="O34" i="3"/>
  <c r="P34" i="3"/>
  <c r="B34" i="3"/>
  <c r="C30" i="3"/>
  <c r="D30" i="3"/>
  <c r="E30" i="3"/>
  <c r="F30" i="3"/>
  <c r="G30" i="3"/>
  <c r="H30" i="3"/>
  <c r="I30" i="3"/>
  <c r="J30" i="3"/>
  <c r="K30" i="3"/>
  <c r="L30" i="3"/>
  <c r="M30" i="3"/>
  <c r="N30" i="3"/>
  <c r="O30" i="3"/>
  <c r="P30" i="3"/>
  <c r="B30" i="3"/>
  <c r="C29" i="3"/>
  <c r="D29" i="3"/>
  <c r="E29" i="3"/>
  <c r="F29" i="3"/>
  <c r="G29" i="3"/>
  <c r="H29" i="3"/>
  <c r="I29" i="3"/>
  <c r="J29" i="3"/>
  <c r="K29" i="3"/>
  <c r="L29" i="3"/>
  <c r="M29" i="3"/>
  <c r="N29" i="3"/>
  <c r="O29" i="3"/>
  <c r="P29" i="3"/>
  <c r="B29" i="3"/>
  <c r="C27" i="3"/>
  <c r="D27" i="3"/>
  <c r="E27" i="3"/>
  <c r="F27" i="3"/>
  <c r="G27" i="3"/>
  <c r="H27" i="3"/>
  <c r="I27" i="3"/>
  <c r="J27" i="3"/>
  <c r="K27" i="3"/>
  <c r="L27" i="3"/>
  <c r="M27" i="3"/>
  <c r="N27" i="3"/>
  <c r="O27" i="3"/>
  <c r="P27" i="3"/>
  <c r="B27" i="3"/>
  <c r="G12" i="6" l="1"/>
  <c r="G22" i="6"/>
  <c r="G23" i="6"/>
  <c r="G21" i="6"/>
  <c r="D12" i="6"/>
  <c r="D21" i="6"/>
  <c r="D22" i="6"/>
  <c r="D23" i="6"/>
  <c r="D15" i="2"/>
  <c r="D21" i="2"/>
  <c r="E18" i="2"/>
  <c r="C24" i="2"/>
  <c r="F24" i="2"/>
  <c r="E23" i="2"/>
  <c r="F20" i="2"/>
  <c r="D18" i="2"/>
  <c r="C21" i="2"/>
  <c r="E24" i="2"/>
  <c r="D23" i="2"/>
  <c r="F21" i="2"/>
  <c r="E20" i="2"/>
  <c r="F15" i="2"/>
  <c r="F23" i="2"/>
  <c r="D24" i="2"/>
  <c r="E21" i="2"/>
  <c r="D20" i="2"/>
  <c r="F18" i="2"/>
  <c r="E15" i="2"/>
  <c r="C23" i="2"/>
  <c r="C20" i="2"/>
  <c r="C15" i="2"/>
  <c r="C18" i="2"/>
  <c r="G28" i="3"/>
  <c r="H28" i="3"/>
  <c r="I28" i="3"/>
  <c r="J28" i="3"/>
  <c r="K28" i="3"/>
  <c r="L28" i="3"/>
  <c r="M28" i="3"/>
  <c r="N28" i="3"/>
  <c r="O28" i="3"/>
  <c r="P28" i="3"/>
  <c r="G31" i="3"/>
  <c r="H31" i="3"/>
  <c r="I31" i="3"/>
  <c r="J31" i="3"/>
  <c r="K31" i="3"/>
  <c r="L31" i="3"/>
  <c r="M31" i="3"/>
  <c r="N31" i="3"/>
  <c r="O31" i="3"/>
  <c r="P31" i="3"/>
  <c r="G32" i="3"/>
  <c r="H32" i="3"/>
  <c r="I32" i="3"/>
  <c r="J32" i="3"/>
  <c r="K32" i="3"/>
  <c r="L32" i="3"/>
  <c r="M32" i="3"/>
  <c r="N32" i="3"/>
  <c r="O32" i="3"/>
  <c r="P32" i="3"/>
  <c r="G33" i="3"/>
  <c r="H33" i="3"/>
  <c r="I33" i="3"/>
  <c r="J33" i="3"/>
  <c r="K33" i="3"/>
  <c r="L33" i="3"/>
  <c r="M33" i="3"/>
  <c r="N33" i="3"/>
  <c r="O33" i="3"/>
  <c r="P33" i="3"/>
  <c r="F28" i="3"/>
  <c r="F31" i="3"/>
  <c r="F32" i="3"/>
  <c r="F33" i="3"/>
  <c r="C33" i="3"/>
  <c r="D33" i="3"/>
  <c r="E33" i="3"/>
  <c r="B33" i="3"/>
  <c r="C32" i="3"/>
  <c r="D32" i="3"/>
  <c r="E32" i="3"/>
  <c r="C31" i="3"/>
  <c r="D31" i="3"/>
  <c r="E31" i="3"/>
  <c r="B31" i="3"/>
  <c r="C28" i="3"/>
  <c r="D28" i="3"/>
  <c r="E28" i="3"/>
  <c r="B28" i="3"/>
  <c r="B18" i="2" l="1"/>
  <c r="B23" i="2"/>
  <c r="B24" i="2"/>
  <c r="B21" i="2"/>
  <c r="B20" i="2"/>
  <c r="B15" i="2"/>
  <c r="C13" i="2"/>
  <c r="G10" i="6"/>
  <c r="G11" i="6"/>
  <c r="D10" i="6"/>
  <c r="D11" i="6"/>
  <c r="E13" i="2"/>
  <c r="D14" i="2"/>
  <c r="F19" i="2"/>
  <c r="F22" i="2"/>
  <c r="F14" i="2"/>
  <c r="E19" i="2"/>
  <c r="C19" i="2"/>
  <c r="C22" i="2"/>
  <c r="F13" i="2"/>
  <c r="E22" i="2"/>
  <c r="E14" i="2"/>
  <c r="D19" i="2"/>
  <c r="D22" i="2"/>
  <c r="D13" i="2"/>
  <c r="C14" i="2"/>
  <c r="B13" i="2" l="1"/>
  <c r="B14" i="2"/>
  <c r="B22" i="2"/>
  <c r="B19" i="2"/>
</calcChain>
</file>

<file path=xl/sharedStrings.xml><?xml version="1.0" encoding="utf-8"?>
<sst xmlns="http://schemas.openxmlformats.org/spreadsheetml/2006/main" count="661" uniqueCount="266">
  <si>
    <t>Poverty Rate</t>
  </si>
  <si>
    <t>&lt;80% HAFMI</t>
  </si>
  <si>
    <t>Pop 65+</t>
  </si>
  <si>
    <t>Pop &lt;18</t>
  </si>
  <si>
    <t>Renter Rate</t>
  </si>
  <si>
    <t>Substandard</t>
  </si>
  <si>
    <t>Overcrowded</t>
  </si>
  <si>
    <t>Hh Pay &gt;30%</t>
  </si>
  <si>
    <t>Stage 1 - Raw Data</t>
  </si>
  <si>
    <t>Demographic!F13</t>
  </si>
  <si>
    <t>Demographic!F14</t>
  </si>
  <si>
    <t>Demographic!F27</t>
  </si>
  <si>
    <t>Demographic!F48</t>
  </si>
  <si>
    <t>Demographic!F51</t>
  </si>
  <si>
    <t>Demographic!B92</t>
  </si>
  <si>
    <t>Demographic!C92</t>
  </si>
  <si>
    <t>Demographic!D92</t>
  </si>
  <si>
    <t>Housing Needs!F22</t>
  </si>
  <si>
    <t>Housing Needs!F38</t>
  </si>
  <si>
    <t>Housing Needs!F47</t>
  </si>
  <si>
    <t>Housing Supply!G14</t>
  </si>
  <si>
    <t>Housing Supply!G17</t>
  </si>
  <si>
    <t>Filename</t>
  </si>
  <si>
    <t>Geography</t>
  </si>
  <si>
    <t>NATION</t>
  </si>
  <si>
    <t>Median Owner Value</t>
  </si>
  <si>
    <t>Basic Issue Identification</t>
  </si>
  <si>
    <t>Target:</t>
  </si>
  <si>
    <t>Reference:</t>
  </si>
  <si>
    <t>Define Comparison:</t>
  </si>
  <si>
    <t>Result</t>
  </si>
  <si>
    <t>KEY</t>
  </si>
  <si>
    <t>Slightly Higher</t>
  </si>
  <si>
    <t>Higher</t>
  </si>
  <si>
    <t>Lower</t>
  </si>
  <si>
    <t>Much Higher</t>
  </si>
  <si>
    <t>Stage 1:</t>
  </si>
  <si>
    <t>Median Contract Rent</t>
  </si>
  <si>
    <t>Resources associated with this Toolkit are available on HUD's Web site.</t>
  </si>
  <si>
    <t>http://www.hud.gov/offices/cpd/about/conplan/cp_training_ta.cfm</t>
  </si>
  <si>
    <t>Welcome to the Housing Issues module of the Data-Driven Planning Toolkit. Below are basic instructions on loading data into the Housing Issues module and setting the target jurisdiction, as well as an advanced panel where you can adjust the thresholds used to help identify and characterize issues. More detailed instructions and multiple examples are included in the accompanying Guidebook available at http://www.hud.gov/offices/cpd/about/conplan/cp_training_ta.cfm</t>
  </si>
  <si>
    <t>Target Jurisdiction:</t>
  </si>
  <si>
    <t>ADVANCED CONTROLS</t>
  </si>
  <si>
    <t>Stage 1 Issue Identification Criteria</t>
  </si>
  <si>
    <t>(ratio)</t>
  </si>
  <si>
    <t>(difference)</t>
  </si>
  <si>
    <t>Type</t>
  </si>
  <si>
    <t>Variable</t>
  </si>
  <si>
    <t>Stage 2 - Raw Data</t>
  </si>
  <si>
    <t>Issue = Overcrowding</t>
  </si>
  <si>
    <t>Overcrowded 0–30%AMI</t>
  </si>
  <si>
    <t>Overcrowded 30–50%AMI</t>
  </si>
  <si>
    <t>Overcrowded 50–80%AMI</t>
  </si>
  <si>
    <t>Overcrowded 80–100%AMI</t>
  </si>
  <si>
    <t>Severely OC 0–30%AMI</t>
  </si>
  <si>
    <t>Severely OC 30–50%AMI</t>
  </si>
  <si>
    <t>Severely OC 50–80%AMI</t>
  </si>
  <si>
    <t>Severely OC 80–100%AMI</t>
  </si>
  <si>
    <t>Stage 2:</t>
  </si>
  <si>
    <t>Owner-Occupied</t>
  </si>
  <si>
    <t>Issue = Cost Burdened</t>
  </si>
  <si>
    <t>Median Hh Income</t>
  </si>
  <si>
    <t>Paying &gt; 30%</t>
  </si>
  <si>
    <t>Earn less than $35K pay &gt;30%</t>
  </si>
  <si>
    <t>Earn more than $35K pay &gt;30%</t>
  </si>
  <si>
    <t>Owner Earn less $35K pay&gt;30%</t>
  </si>
  <si>
    <t>Owner Earn more $35K pay&gt;30%</t>
  </si>
  <si>
    <t>Renter Earn less $35K pay&gt;30%</t>
  </si>
  <si>
    <t>Renter Earn more $35K pay&gt;30%</t>
  </si>
  <si>
    <t>Cost-burdened &gt;30%, 0–30% AMI</t>
  </si>
  <si>
    <t>Cost-burdened &gt;30%, 30–50% AMI</t>
  </si>
  <si>
    <t>Cost-burdened &gt;30%, 50–80% AMI</t>
  </si>
  <si>
    <t>Cost-burdened &gt;50%, 0–30% AMI</t>
  </si>
  <si>
    <t>Cost-burdened &gt;50%, 30–50% AMI</t>
  </si>
  <si>
    <t>Cost-burdened &gt;50%, 50–80% AMI</t>
  </si>
  <si>
    <t>Rental</t>
  </si>
  <si>
    <t>Issue = Substandard</t>
  </si>
  <si>
    <t>HH or Housing Units in</t>
  </si>
  <si>
    <t>Other Structure Types (e.g., RV)</t>
  </si>
  <si>
    <t>Built 1949 or earlier</t>
  </si>
  <si>
    <t>Substandard, 0-30% AMI</t>
  </si>
  <si>
    <t>Substandard, 30-50% AMI</t>
  </si>
  <si>
    <t>Substandard, 50-80% AMI</t>
  </si>
  <si>
    <t>Substandard, 80-100% AMI</t>
  </si>
  <si>
    <t>Additional Housing and Demographic Characteristics and Factors</t>
  </si>
  <si>
    <t>Households with one or more people under 18 years</t>
  </si>
  <si>
    <t>Households with one or more people 60 years and over</t>
  </si>
  <si>
    <t>One person Household</t>
  </si>
  <si>
    <t>Population 5 years and over that speak English 'not at all'</t>
  </si>
  <si>
    <t>Median value for owner-occupied units with a mortgage</t>
  </si>
  <si>
    <t>Median age of structure for renter-occupied units</t>
  </si>
  <si>
    <t>Units built 2000 or later</t>
  </si>
  <si>
    <t>Units built 1980-1999</t>
  </si>
  <si>
    <t>Units built 1950-1979</t>
  </si>
  <si>
    <t>Units built 1949 or earlier</t>
  </si>
  <si>
    <t>Owner HH 1 or less/room</t>
  </si>
  <si>
    <t>Owner HH 1.01 to 1.5/room</t>
  </si>
  <si>
    <t>Owner HH 1.51+/room</t>
  </si>
  <si>
    <t>Renter HH 1 or less/ room</t>
  </si>
  <si>
    <t>Renter HH 1.01 to 1.5/room</t>
  </si>
  <si>
    <t>Renter HH 1.51+/ room</t>
  </si>
  <si>
    <t>Overcrowding</t>
  </si>
  <si>
    <t>Housing Needs!B49</t>
  </si>
  <si>
    <t>Housing Needs!C49</t>
  </si>
  <si>
    <t>Housing Needs!D49</t>
  </si>
  <si>
    <t>Housing Needs!E49</t>
  </si>
  <si>
    <t>Housing Needs!B48</t>
  </si>
  <si>
    <t>Housing Needs!C48</t>
  </si>
  <si>
    <t>Housing Needs!D48</t>
  </si>
  <si>
    <t>Housing Needs!E48</t>
  </si>
  <si>
    <t>Housing Needs!B40</t>
  </si>
  <si>
    <t>Housing Needs!C40</t>
  </si>
  <si>
    <t>Housing Needs!D40</t>
  </si>
  <si>
    <t>Housing Needs!E40</t>
  </si>
  <si>
    <t>Housing Needs!B39</t>
  </si>
  <si>
    <t>Housing Needs!C39</t>
  </si>
  <si>
    <t>Housing Needs!D39</t>
  </si>
  <si>
    <t>Housing Needs!E39</t>
  </si>
  <si>
    <t>Cost Burdened</t>
  </si>
  <si>
    <t>n/a</t>
  </si>
  <si>
    <t>Housing Supply!G12</t>
  </si>
  <si>
    <t>Demographic!F18</t>
  </si>
  <si>
    <t>Housing Needs!E22</t>
  </si>
  <si>
    <t>Housing Needs!E23</t>
  </si>
  <si>
    <t>Housing Needs!E24</t>
  </si>
  <si>
    <t>Housing Needs!E25</t>
  </si>
  <si>
    <t>Housing Needs!E26</t>
  </si>
  <si>
    <t>Housing Needs!E27</t>
  </si>
  <si>
    <t>Housing Needs!E28</t>
  </si>
  <si>
    <t>Housing Needs!E41</t>
  </si>
  <si>
    <t>Housing Needs!D41</t>
  </si>
  <si>
    <t>Housing Needs!B41</t>
  </si>
  <si>
    <t>Housing Needs!C41</t>
  </si>
  <si>
    <t>Housing Needs!B42</t>
  </si>
  <si>
    <t>Housing Needs!C42</t>
  </si>
  <si>
    <t>Housing Needs!D42</t>
  </si>
  <si>
    <t>Housing Needs!E42</t>
  </si>
  <si>
    <t>Housing Needs!B51</t>
  </si>
  <si>
    <t>Housing Needs!C51</t>
  </si>
  <si>
    <t>Housing Needs!D51</t>
  </si>
  <si>
    <t>Housing Needs!E51</t>
  </si>
  <si>
    <t>Housing Needs!B50</t>
  </si>
  <si>
    <t>Housing Needs!C50</t>
  </si>
  <si>
    <t>Housing Needs!D50</t>
  </si>
  <si>
    <t>Housing Needs!E50</t>
  </si>
  <si>
    <t>Housing Supply!F169</t>
  </si>
  <si>
    <t>Housing Supply!F170</t>
  </si>
  <si>
    <t>Housing Supply!F171</t>
  </si>
  <si>
    <t>Housing Supply!G168</t>
  </si>
  <si>
    <t>Housing Supply!G169</t>
  </si>
  <si>
    <t>Housing Supply!G170</t>
  </si>
  <si>
    <t>Cost-burdened &gt;30%, 80–100% AMI</t>
  </si>
  <si>
    <t>Cost-burdened &gt;50%, 80–100% AMI</t>
  </si>
  <si>
    <t>Housing Supply!F31</t>
  </si>
  <si>
    <t>Housing Supply!B153</t>
  </si>
  <si>
    <t>Housing Needs!B47</t>
  </si>
  <si>
    <t>Housing Needs!C47</t>
  </si>
  <si>
    <t>Housing Needs!D47</t>
  </si>
  <si>
    <t>Housing Needs!E47</t>
  </si>
  <si>
    <t>Housing Supply!D153</t>
  </si>
  <si>
    <t>Housing Needs!B38</t>
  </si>
  <si>
    <t>Housing Needs!C38</t>
  </si>
  <si>
    <t>Housing Needs!D38</t>
  </si>
  <si>
    <t>Housing Needs!E38</t>
  </si>
  <si>
    <t>Housing Supply!G15</t>
  </si>
  <si>
    <t>Housing Supply!G150</t>
  </si>
  <si>
    <t>Housing Supply!G151</t>
  </si>
  <si>
    <t>Housing Supply!G152</t>
  </si>
  <si>
    <t>Housing Supply!G153</t>
  </si>
  <si>
    <t>Housing Supply!G18</t>
  </si>
  <si>
    <t>Georgraphy</t>
  </si>
  <si>
    <t>Demographic!F56</t>
  </si>
  <si>
    <t>Demographic!F57</t>
  </si>
  <si>
    <t>Demographic!F58</t>
  </si>
  <si>
    <t>Demographic!F25</t>
  </si>
  <si>
    <t>Housing Needs!E14</t>
  </si>
  <si>
    <t>Housing Needs!E15</t>
  </si>
  <si>
    <t>Housing Needs!E17</t>
  </si>
  <si>
    <t>Housing Needs!E18</t>
  </si>
  <si>
    <t>Housing Needs!E13</t>
  </si>
  <si>
    <t>Housing Needs!E16</t>
  </si>
  <si>
    <t>Number of HH</t>
  </si>
  <si>
    <t>Stage 3:</t>
  </si>
  <si>
    <t>Issue Location</t>
  </si>
  <si>
    <t>Issue</t>
  </si>
  <si>
    <t>Query on</t>
  </si>
  <si>
    <t>Recommended Threshold</t>
  </si>
  <si>
    <t>Secondary Threshold</t>
  </si>
  <si>
    <t>Jurisdiction:</t>
  </si>
  <si>
    <t>Substandard Housing</t>
  </si>
  <si>
    <t>Other Demographic and Housing Characteristics</t>
  </si>
  <si>
    <t>% of the population 5 years and over that speak English 'not at all'</t>
  </si>
  <si>
    <t>% of the population age 0-17</t>
  </si>
  <si>
    <t>% of the population age 65 and over</t>
  </si>
  <si>
    <t>% of households with one or more people under 18 years</t>
  </si>
  <si>
    <t>% of households with one or more people 60 years and over</t>
  </si>
  <si>
    <t>% of one person households</t>
  </si>
  <si>
    <t>% of households with overcrowding</t>
  </si>
  <si>
    <t>% of households with substandard housing</t>
  </si>
  <si>
    <t>% of households paying &gt;30%</t>
  </si>
  <si>
    <t>Higher than</t>
  </si>
  <si>
    <t>Lower than</t>
  </si>
  <si>
    <t>Stage 2 Issue Characterization Criteria</t>
  </si>
  <si>
    <t>Variable/Group</t>
  </si>
  <si>
    <t>HH Persons per Room</t>
  </si>
  <si>
    <t>Owner Overcrowding</t>
  </si>
  <si>
    <t>Rental Overcrowding</t>
  </si>
  <si>
    <t>Owner Cost Burden</t>
  </si>
  <si>
    <t>Rental Cost Burden</t>
  </si>
  <si>
    <t>Owner Substandard</t>
  </si>
  <si>
    <t>Rental Substandard</t>
  </si>
  <si>
    <t>Built 1949 or Earlier</t>
  </si>
  <si>
    <t>Age Ranges of Units</t>
  </si>
  <si>
    <t>Basic Issue Characterization</t>
  </si>
  <si>
    <t>Housing Issues</t>
  </si>
  <si>
    <t>Demographics and General Housing Characteristics</t>
  </si>
  <si>
    <t>Denominator</t>
  </si>
  <si>
    <t>Owner-Occ Units</t>
  </si>
  <si>
    <t>Rental Units</t>
  </si>
  <si>
    <t>Data-Driven Planning Toolkit</t>
  </si>
  <si>
    <t>Housing Module</t>
  </si>
  <si>
    <t>This Microsoft Excel workbook contains the Housing Issues module of the Data-Driven Planning Toolkit. This workbook contains basic instructions, and users are encouraged to read and reference the accompanying Guidebook for detailed instructions and examples. To begin using the Housing Issues module, click on the Control_Panel tab and follow the instructions to import data from reports generated by CPD Maps.</t>
  </si>
  <si>
    <r>
      <t>The Data-Driven Planning Toolkit is designed to help grantees who want to make their Consolidated Plans more data-driven and place-based. The Toolkit will assist grantees in analy</t>
    </r>
    <r>
      <rPr>
        <sz val="11"/>
        <rFont val="Calibri"/>
        <family val="2"/>
        <scheme val="minor"/>
      </rPr>
      <t>z</t>
    </r>
    <r>
      <rPr>
        <sz val="11"/>
        <color theme="1"/>
        <rFont val="Calibri"/>
        <family val="2"/>
        <scheme val="minor"/>
      </rPr>
      <t>ing and interpreting data available through CPD Maps. Using the Toolkit is not required, and the analysis provided by the Toolkit is only one facet of a review of demographic and economic data sets. The planning process should also include consultation with local agencies, public outreach, and a housing market analysis.</t>
    </r>
  </si>
  <si>
    <t>This is the target jurisdiction for the comparisons in Stages 1 and 2 and the threshold calculations in Stage 3. Typically this is your jurisdiction. You can only select or change the target jurisdiction here on the Control Panel tab. You will select and change the comparison jurisdictions directly in Stages 1 and 2 (select the jurisdictions to display in the table column headers and select the reference jurisdiction for calculating the results column in the olive box above the table. Click on the cell next to "Target Jurisdiction" to bring up a list of target jurisdiction choices.</t>
  </si>
  <si>
    <t>There are two types of comparisons: ratio and difference. For ratios, the comparison is proportional (e.g., is the target twice the size of the comparison?). For differences, the comparison is absolute (e.g., how many percentage points difference is there between the target and the comparison?).</t>
  </si>
  <si>
    <t>Now that you have loaded data into the Housing Issues module and selected a target jurisdiction, continue on to the Stage 1 Issue Identification Tab.</t>
  </si>
  <si>
    <t>This stage examines CPD Maps data for the target jurisdiction compared to two other geographies (e.g., a similar jurisdiction and the state) and national statistics. This basic analysis allows the user to identify specific issues for analysis in Stages 2 and 3. The target jurisdiction is set on the Control Panel. You can choose the reference geography in the shaded box below. The reference geography is also shaded in the table. You can change the comparison jurisdictions by clicking on the table header and selecting from the list that appears.</t>
  </si>
  <si>
    <t>This stage examines more detailed CPD Maps data by issue for the target jurisdiction compared to two other geographies (e.g., a similar jurisdiction and the state) and national statistics. This allows the user to better characterize issues identified in Stage 1.</t>
  </si>
  <si>
    <t>Substandard, 0–30% AMI</t>
  </si>
  <si>
    <t>Substandard, 30–50% AMI</t>
  </si>
  <si>
    <t>Substandard, 50–80% AMI</t>
  </si>
  <si>
    <t>Substandard, 80–100% AMI</t>
  </si>
  <si>
    <t>One-person Household</t>
  </si>
  <si>
    <t>Units built 1980–1999</t>
  </si>
  <si>
    <t>Units built 1950–1979</t>
  </si>
  <si>
    <t>This stage links the analysis in Stages 1 and 2 back to CPD Maps by providing guidance on values to enter in the Map Query Widget. You can look at up to three variables in the Map Query Widget in CPD Maps, so you can use the Issue Identification and Characterization in the previous Stages to determine which variables to look at and use the thresholds in this Stage to see the areas or neighborhoods where the issue is concentrated.</t>
  </si>
  <si>
    <t>Households</t>
  </si>
  <si>
    <t>Units Not Affordable to 50% HAMFI</t>
  </si>
  <si>
    <t>Units Not Affordable to 80% HAMFI</t>
  </si>
  <si>
    <t>Units Not Affordable to 100% HAMFI</t>
  </si>
  <si>
    <t>Units Not Affordable to 30% HAMFI</t>
  </si>
  <si>
    <t>Not Affordable HAMFI</t>
  </si>
  <si>
    <t>You can adjust the criteria used to determine whether the target jurisdiction is slightly higher, higher, much higher, or lower than the comparison jurisdiction. Enter custom criteria in the table to the right. You can toggle between your custom criteria and the default criteria by selecting the "active values" at the top of the table.</t>
  </si>
  <si>
    <t>Custom Values</t>
  </si>
  <si>
    <t>Active Values:</t>
  </si>
  <si>
    <t>Default</t>
  </si>
  <si>
    <t>Additional Characteristics</t>
  </si>
  <si>
    <t xml:space="preserve">← Select Issues                          </t>
  </si>
  <si>
    <t>% renter units affordable to 30% HAMFI*</t>
  </si>
  <si>
    <t>% renter units affordable to 50% HAMFI*</t>
  </si>
  <si>
    <t>% renter units affordable to 80% HAMFI*</t>
  </si>
  <si>
    <t>% owner units affordable to 50% HAMFI*</t>
  </si>
  <si>
    <t>% owner units affordable to 80% HAMFI*</t>
  </si>
  <si>
    <t>% owner units affordable to 100% HAMFI*</t>
  </si>
  <si>
    <t>Homeownership Rate**</t>
  </si>
  <si>
    <t>% of households with income = 30% HAMFI</t>
  </si>
  <si>
    <t>% of households with income = 80% HAMFI</t>
  </si>
  <si>
    <t>% of households with income = 50% HAMFI</t>
  </si>
  <si>
    <t>** We analyzed the renter rate earlier, but the CPD Maps Query Tool only allows for Homeownership Rate (the same as 1 - the Renter Rate), so unlike the other thresholds, the Homeownership Rate threshold is a maximum (look for areas lower than the threshold)</t>
  </si>
  <si>
    <t>* We analyzed units that are not affordable by HAMFI earlier, but the CPD Maps Query Tool looks at affordability (the same as 1 - the percent of unaffordable units), so unlike the other thresholds, the percent affordable by HAMFI thresholds are a maximum (look for areas lower than the threshold)</t>
  </si>
  <si>
    <t>Default Reference:</t>
  </si>
  <si>
    <t>Custom Reference:</t>
  </si>
  <si>
    <t>Step 1: Select the Target Jurisdiction</t>
  </si>
  <si>
    <t>Step 2: Stage 1 Issue Identification</t>
  </si>
  <si>
    <t>For Tract 30111000300</t>
  </si>
  <si>
    <t>Nation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</si>
</sst>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0%"/>
    <numFmt numFmtId="166" formatCode="&quot;$&quot;#,##0"/>
    <numFmt numFmtId="167" formatCode="0.00&quot;%&quot;"/>
  </numFmts>
  <fonts count="12"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u/>
      <sz val="11"/>
      <color theme="1"/>
      <name val="Calibri"/>
      <family val="2"/>
      <scheme val="minor"/>
    </font>
    <font>
      <b/>
      <i/>
      <sz val="11"/>
      <color theme="1"/>
      <name val="Calibri"/>
      <family val="2"/>
      <scheme val="minor"/>
    </font>
    <font>
      <b/>
      <sz val="18"/>
      <color theme="1"/>
      <name val="Calibri"/>
      <family val="2"/>
      <scheme val="minor"/>
    </font>
    <font>
      <sz val="16"/>
      <color theme="1"/>
      <name val="Calibri"/>
      <family val="2"/>
      <scheme val="minor"/>
    </font>
    <font>
      <sz val="11"/>
      <name val="Calibri"/>
      <family val="2"/>
      <scheme val="minor"/>
    </font>
    <font>
      <sz val="11"/>
      <color theme="0"/>
      <name val="Calibri"/>
      <family val="2"/>
      <scheme val="minor"/>
    </font>
    <font>
      <b/>
      <sz val="11"/>
      <color theme="1"/>
      <name val="Calibri"/>
      <family val="2"/>
    </font>
    <font>
      <sz val="11"/>
      <color theme="1"/>
      <name val="Calibri"/>
      <family val="2"/>
      <scheme val="minor"/>
    </font>
  </fonts>
  <fills count="9">
    <fill>
      <patternFill patternType="none"/>
    </fill>
    <fill>
      <patternFill patternType="gray125"/>
    </fill>
    <fill>
      <patternFill patternType="solid">
        <fgColor rgb="FFF6E8C3"/>
        <bgColor indexed="64"/>
      </patternFill>
    </fill>
    <fill>
      <patternFill patternType="solid">
        <fgColor rgb="FFD8B365"/>
        <bgColor indexed="64"/>
      </patternFill>
    </fill>
    <fill>
      <patternFill patternType="solid">
        <fgColor rgb="FF5AB4AC"/>
        <bgColor indexed="64"/>
      </patternFill>
    </fill>
    <fill>
      <patternFill patternType="solid">
        <fgColor rgb="FFC4720E"/>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3" fillId="0" borderId="0" applyNumberFormat="0" applyFill="0" applyBorder="0" applyAlignment="0" applyProtection="0"/>
    <xf numFmtId="43" fontId="11" fillId="0" borderId="0" applyFont="0" applyFill="0" applyBorder="0" applyAlignment="0" applyProtection="0"/>
  </cellStyleXfs>
  <cellXfs count="227">
    <xf numFmtId="0" fontId="0" fillId="0" borderId="0" xfId="0"/>
    <xf numFmtId="0" fontId="1" fillId="0" borderId="0" xfId="0" applyFont="1"/>
    <xf numFmtId="0" fontId="0" fillId="0" borderId="0" xfId="0" applyFont="1" applyAlignment="1">
      <alignment vertical="top" wrapText="1"/>
    </xf>
    <xf numFmtId="0" fontId="0" fillId="0" borderId="0" xfId="0" applyFont="1"/>
    <xf numFmtId="165" fontId="0" fillId="0" borderId="0" xfId="0" applyNumberFormat="1"/>
    <xf numFmtId="0" fontId="2" fillId="0" borderId="0" xfId="0" applyFont="1"/>
    <xf numFmtId="0" fontId="1" fillId="0" borderId="7" xfId="0" applyFont="1" applyBorder="1" applyAlignment="1">
      <alignment horizontal="center"/>
    </xf>
    <xf numFmtId="0" fontId="0" fillId="2" borderId="8" xfId="0" applyFont="1" applyFill="1" applyBorder="1" applyAlignment="1">
      <alignment horizontal="left"/>
    </xf>
    <xf numFmtId="0" fontId="0" fillId="3" borderId="8" xfId="0" applyFill="1" applyBorder="1"/>
    <xf numFmtId="0" fontId="0" fillId="4" borderId="9" xfId="0" applyFill="1" applyBorder="1"/>
    <xf numFmtId="0" fontId="0" fillId="5" borderId="8" xfId="0" applyFill="1" applyBorder="1"/>
    <xf numFmtId="0" fontId="1" fillId="6" borderId="1" xfId="0" applyFont="1" applyFill="1" applyBorder="1"/>
    <xf numFmtId="0" fontId="1" fillId="6" borderId="2" xfId="0" applyFont="1" applyFill="1" applyBorder="1"/>
    <xf numFmtId="0" fontId="1" fillId="6" borderId="3" xfId="0" applyFont="1" applyFill="1" applyBorder="1"/>
    <xf numFmtId="9" fontId="0" fillId="0" borderId="0" xfId="0" applyNumberFormat="1"/>
    <xf numFmtId="0" fontId="0" fillId="0" borderId="0" xfId="0" applyAlignment="1"/>
    <xf numFmtId="0" fontId="1" fillId="0" borderId="0" xfId="0" applyFont="1" applyAlignment="1">
      <alignment horizontal="left"/>
    </xf>
    <xf numFmtId="0" fontId="0" fillId="0" borderId="10" xfId="0" applyBorder="1"/>
    <xf numFmtId="2" fontId="0" fillId="0" borderId="10" xfId="0" applyNumberFormat="1" applyBorder="1" applyAlignment="1">
      <alignment horizontal="right"/>
    </xf>
    <xf numFmtId="9" fontId="0" fillId="0" borderId="10" xfId="0" applyNumberFormat="1" applyBorder="1" applyAlignment="1">
      <alignment horizontal="right"/>
    </xf>
    <xf numFmtId="0" fontId="0" fillId="0" borderId="0" xfId="0" applyBorder="1" applyAlignment="1">
      <alignment horizontal="left" wrapText="1"/>
    </xf>
    <xf numFmtId="0" fontId="4" fillId="0" borderId="1" xfId="0" applyFont="1" applyBorder="1"/>
    <xf numFmtId="0" fontId="4" fillId="0" borderId="2" xfId="0" applyFont="1" applyBorder="1"/>
    <xf numFmtId="0" fontId="0" fillId="0" borderId="2" xfId="0" applyBorder="1"/>
    <xf numFmtId="0" fontId="0" fillId="0" borderId="3" xfId="0" applyBorder="1"/>
    <xf numFmtId="0" fontId="0" fillId="0" borderId="11" xfId="0" applyBorder="1" applyAlignment="1">
      <alignment horizontal="left" wrapText="1"/>
    </xf>
    <xf numFmtId="0" fontId="0" fillId="0" borderId="11" xfId="0" applyBorder="1"/>
    <xf numFmtId="2" fontId="0" fillId="0" borderId="13" xfId="0" applyNumberFormat="1" applyBorder="1" applyAlignment="1">
      <alignment horizontal="right"/>
    </xf>
    <xf numFmtId="9" fontId="0" fillId="0" borderId="13" xfId="0" applyNumberFormat="1" applyBorder="1" applyAlignment="1">
      <alignment horizontal="right"/>
    </xf>
    <xf numFmtId="0" fontId="0" fillId="0" borderId="4" xfId="0" applyBorder="1"/>
    <xf numFmtId="0" fontId="0" fillId="0" borderId="14" xfId="0" applyBorder="1"/>
    <xf numFmtId="9" fontId="0" fillId="0" borderId="14" xfId="0" applyNumberFormat="1" applyBorder="1" applyAlignment="1">
      <alignment horizontal="right"/>
    </xf>
    <xf numFmtId="9" fontId="0" fillId="0" borderId="15" xfId="0" applyNumberFormat="1" applyBorder="1" applyAlignment="1">
      <alignment horizontal="right"/>
    </xf>
    <xf numFmtId="0" fontId="0" fillId="0" borderId="10" xfId="0" applyBorder="1" applyAlignment="1">
      <alignment horizontal="center" vertical="center"/>
    </xf>
    <xf numFmtId="0" fontId="0" fillId="0" borderId="16" xfId="0" applyBorder="1"/>
    <xf numFmtId="0" fontId="1" fillId="0" borderId="17" xfId="0" applyFont="1" applyBorder="1" applyAlignment="1">
      <alignment horizontal="center" vertical="center"/>
    </xf>
    <xf numFmtId="0"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xf numFmtId="0" fontId="1" fillId="0" borderId="19" xfId="0" applyFont="1" applyBorder="1" applyAlignment="1">
      <alignment vertical="top" wrapText="1"/>
    </xf>
    <xf numFmtId="0" fontId="0" fillId="0" borderId="14" xfId="0" applyBorder="1" applyAlignment="1">
      <alignment horizontal="center" vertical="center"/>
    </xf>
    <xf numFmtId="0" fontId="0" fillId="0" borderId="11" xfId="0" applyBorder="1" applyAlignment="1">
      <alignment horizontal="left" wrapText="1"/>
    </xf>
    <xf numFmtId="0" fontId="0" fillId="0" borderId="0" xfId="0" applyBorder="1" applyAlignment="1">
      <alignment horizontal="left"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center"/>
    </xf>
    <xf numFmtId="0" fontId="0" fillId="0" borderId="0" xfId="0" applyAlignment="1">
      <alignment wrapText="1"/>
    </xf>
    <xf numFmtId="164" fontId="0" fillId="0" borderId="0" xfId="0" applyNumberFormat="1"/>
    <xf numFmtId="166" fontId="0" fillId="0" borderId="0" xfId="0" applyNumberFormat="1"/>
    <xf numFmtId="0" fontId="0" fillId="0" borderId="0" xfId="0" applyAlignment="1">
      <alignment horizontal="center"/>
    </xf>
    <xf numFmtId="0" fontId="0" fillId="0" borderId="10" xfId="0" applyBorder="1" applyAlignment="1">
      <alignment wrapText="1"/>
    </xf>
    <xf numFmtId="0" fontId="0" fillId="0" borderId="17" xfId="0" applyBorder="1" applyAlignment="1">
      <alignment wrapText="1"/>
    </xf>
    <xf numFmtId="0" fontId="0" fillId="0" borderId="17" xfId="0" applyBorder="1" applyAlignment="1">
      <alignment horizontal="center" vertical="center"/>
    </xf>
    <xf numFmtId="0" fontId="0" fillId="0" borderId="14" xfId="0" applyBorder="1" applyAlignment="1">
      <alignment wrapText="1"/>
    </xf>
    <xf numFmtId="0" fontId="1" fillId="0" borderId="21" xfId="0" applyFont="1" applyBorder="1"/>
    <xf numFmtId="0" fontId="1" fillId="0" borderId="22" xfId="0" applyFont="1" applyBorder="1" applyAlignment="1">
      <alignment horizontal="left"/>
    </xf>
    <xf numFmtId="0" fontId="1" fillId="0" borderId="22" xfId="0" applyFont="1" applyBorder="1"/>
    <xf numFmtId="0" fontId="0" fillId="0" borderId="5" xfId="0" applyBorder="1"/>
    <xf numFmtId="3" fontId="0" fillId="0" borderId="0" xfId="0" applyNumberFormat="1" applyAlignment="1">
      <alignment horizontal="center"/>
    </xf>
    <xf numFmtId="0" fontId="0" fillId="0" borderId="10" xfId="0" applyBorder="1" applyAlignment="1">
      <alignment vertical="center"/>
    </xf>
    <xf numFmtId="9" fontId="0" fillId="0" borderId="10" xfId="0" applyNumberFormat="1" applyBorder="1" applyAlignment="1">
      <alignment horizontal="right" vertical="center"/>
    </xf>
    <xf numFmtId="9" fontId="0" fillId="0" borderId="13" xfId="0" applyNumberFormat="1" applyBorder="1" applyAlignment="1">
      <alignment horizontal="right" vertical="center"/>
    </xf>
    <xf numFmtId="2" fontId="0" fillId="0" borderId="10" xfId="0" applyNumberFormat="1" applyBorder="1" applyAlignment="1">
      <alignment horizontal="right" vertical="center"/>
    </xf>
    <xf numFmtId="2" fontId="0" fillId="0" borderId="13" xfId="0" applyNumberFormat="1" applyBorder="1" applyAlignment="1">
      <alignment horizontal="right" vertical="center"/>
    </xf>
    <xf numFmtId="0" fontId="5" fillId="0" borderId="19" xfId="0" applyFont="1" applyBorder="1"/>
    <xf numFmtId="0" fontId="1" fillId="0" borderId="10" xfId="0" applyFont="1" applyBorder="1" applyAlignment="1">
      <alignment horizontal="center" vertical="center"/>
    </xf>
    <xf numFmtId="0" fontId="1" fillId="0" borderId="10" xfId="0" applyNumberFormat="1" applyFont="1" applyBorder="1" applyAlignment="1">
      <alignment horizontal="center" vertical="center"/>
    </xf>
    <xf numFmtId="0" fontId="1" fillId="0" borderId="13" xfId="0" applyFont="1" applyBorder="1" applyAlignment="1">
      <alignment horizontal="center" vertical="center"/>
    </xf>
    <xf numFmtId="0" fontId="1" fillId="0" borderId="20" xfId="0" applyFont="1" applyFill="1" applyBorder="1"/>
    <xf numFmtId="0" fontId="1" fillId="0" borderId="14" xfId="0" applyFont="1" applyBorder="1" applyAlignment="1">
      <alignment horizontal="center"/>
    </xf>
    <xf numFmtId="0" fontId="5" fillId="0" borderId="30" xfId="0" applyFont="1" applyBorder="1" applyAlignment="1">
      <alignment vertical="center"/>
    </xf>
    <xf numFmtId="0" fontId="5" fillId="0" borderId="31" xfId="0" applyFont="1" applyBorder="1" applyAlignment="1">
      <alignment vertical="center"/>
    </xf>
    <xf numFmtId="0" fontId="0" fillId="0" borderId="30" xfId="0" applyBorder="1" applyAlignment="1">
      <alignment horizontal="center"/>
    </xf>
    <xf numFmtId="0" fontId="7" fillId="0" borderId="0" xfId="0" applyFont="1" applyAlignment="1">
      <alignment horizontal="center"/>
    </xf>
    <xf numFmtId="10" fontId="0" fillId="0" borderId="10" xfId="0" applyNumberFormat="1" applyBorder="1" applyAlignment="1">
      <alignment horizontal="right" vertical="center"/>
    </xf>
    <xf numFmtId="10" fontId="0" fillId="0" borderId="13" xfId="0" applyNumberFormat="1" applyBorder="1" applyAlignment="1">
      <alignment horizontal="right" vertical="center"/>
    </xf>
    <xf numFmtId="0" fontId="5" fillId="0" borderId="32" xfId="0" applyFont="1" applyBorder="1" applyAlignment="1">
      <alignment horizontal="right" vertical="center"/>
    </xf>
    <xf numFmtId="166" fontId="0" fillId="0" borderId="14" xfId="0" applyNumberFormat="1" applyBorder="1" applyAlignment="1">
      <alignment horizontal="right"/>
    </xf>
    <xf numFmtId="166" fontId="0" fillId="0" borderId="15" xfId="0" applyNumberFormat="1" applyBorder="1" applyAlignment="1">
      <alignment horizontal="right"/>
    </xf>
    <xf numFmtId="0" fontId="0" fillId="0" borderId="0" xfId="0" applyAlignment="1">
      <alignment horizontal="right"/>
    </xf>
    <xf numFmtId="3" fontId="0" fillId="0" borderId="0" xfId="0" applyNumberFormat="1" applyAlignment="1">
      <alignment horizontal="right"/>
    </xf>
    <xf numFmtId="0" fontId="1" fillId="0" borderId="0" xfId="0" applyFont="1" applyAlignment="1">
      <alignment horizontal="right"/>
    </xf>
    <xf numFmtId="10" fontId="0" fillId="0" borderId="22" xfId="0" applyNumberFormat="1" applyFill="1" applyBorder="1" applyAlignment="1">
      <alignment horizontal="right" vertical="center"/>
    </xf>
    <xf numFmtId="10" fontId="0" fillId="0" borderId="17" xfId="0" applyNumberFormat="1" applyBorder="1" applyAlignment="1">
      <alignment horizontal="right" vertical="center"/>
    </xf>
    <xf numFmtId="10" fontId="0" fillId="0" borderId="14" xfId="0" applyNumberFormat="1" applyBorder="1" applyAlignment="1">
      <alignment horizontal="right" vertical="center"/>
    </xf>
    <xf numFmtId="10" fontId="0" fillId="0" borderId="23" xfId="0" applyNumberFormat="1" applyFill="1" applyBorder="1" applyAlignment="1">
      <alignment horizontal="right" vertical="center"/>
    </xf>
    <xf numFmtId="10" fontId="0" fillId="0" borderId="18" xfId="0" applyNumberFormat="1" applyBorder="1" applyAlignment="1">
      <alignment horizontal="right" vertical="center"/>
    </xf>
    <xf numFmtId="10" fontId="0" fillId="0" borderId="15" xfId="0" applyNumberFormat="1" applyBorder="1" applyAlignment="1">
      <alignment horizontal="right" vertical="center"/>
    </xf>
    <xf numFmtId="0" fontId="1" fillId="0" borderId="21" xfId="0" applyFont="1" applyFill="1" applyBorder="1" applyAlignment="1">
      <alignment vertical="top"/>
    </xf>
    <xf numFmtId="0" fontId="0" fillId="0" borderId="22" xfId="0" applyFill="1" applyBorder="1" applyAlignment="1">
      <alignment wrapText="1"/>
    </xf>
    <xf numFmtId="0" fontId="0" fillId="0" borderId="22" xfId="0" applyFill="1" applyBorder="1" applyAlignment="1">
      <alignment horizontal="center" vertical="center"/>
    </xf>
    <xf numFmtId="0" fontId="0" fillId="0" borderId="17" xfId="0" applyFill="1" applyBorder="1" applyAlignment="1">
      <alignment wrapText="1"/>
    </xf>
    <xf numFmtId="0" fontId="0" fillId="0" borderId="17" xfId="0" applyFill="1" applyBorder="1" applyAlignment="1">
      <alignment horizontal="center" vertical="center"/>
    </xf>
    <xf numFmtId="10" fontId="0" fillId="0" borderId="17" xfId="0" applyNumberFormat="1" applyFill="1" applyBorder="1" applyAlignment="1">
      <alignment horizontal="right" vertical="center"/>
    </xf>
    <xf numFmtId="10" fontId="0" fillId="0" borderId="18" xfId="0" applyNumberFormat="1" applyFill="1" applyBorder="1" applyAlignment="1">
      <alignment horizontal="right" vertical="center"/>
    </xf>
    <xf numFmtId="0" fontId="0" fillId="7" borderId="0" xfId="0" applyFill="1"/>
    <xf numFmtId="3" fontId="0" fillId="0" borderId="33" xfId="0" applyNumberFormat="1" applyBorder="1" applyAlignment="1">
      <alignment horizontal="right"/>
    </xf>
    <xf numFmtId="3" fontId="0" fillId="0" borderId="34" xfId="0" applyNumberFormat="1" applyBorder="1" applyAlignment="1">
      <alignment horizontal="right"/>
    </xf>
    <xf numFmtId="3" fontId="0" fillId="0" borderId="35" xfId="0" applyNumberFormat="1" applyBorder="1" applyAlignment="1">
      <alignment horizontal="right"/>
    </xf>
    <xf numFmtId="0" fontId="0" fillId="0" borderId="10" xfId="0" applyBorder="1" applyAlignment="1">
      <alignment horizontal="center"/>
    </xf>
    <xf numFmtId="10" fontId="0" fillId="0" borderId="10" xfId="0" applyNumberFormat="1" applyBorder="1" applyAlignment="1">
      <alignment horizontal="right"/>
    </xf>
    <xf numFmtId="0" fontId="1" fillId="0" borderId="16" xfId="0" applyFont="1" applyBorder="1"/>
    <xf numFmtId="0" fontId="0" fillId="0" borderId="19" xfId="0" applyBorder="1"/>
    <xf numFmtId="10" fontId="0" fillId="0" borderId="13" xfId="0" applyNumberFormat="1" applyBorder="1" applyAlignment="1">
      <alignment horizontal="right"/>
    </xf>
    <xf numFmtId="0" fontId="0" fillId="0" borderId="20" xfId="0" applyBorder="1"/>
    <xf numFmtId="0" fontId="0" fillId="0" borderId="14" xfId="0" applyBorder="1" applyAlignment="1">
      <alignment horizontal="center"/>
    </xf>
    <xf numFmtId="10" fontId="0" fillId="0" borderId="14" xfId="0" applyNumberFormat="1" applyBorder="1" applyAlignment="1">
      <alignment horizontal="right"/>
    </xf>
    <xf numFmtId="10" fontId="0" fillId="0" borderId="15" xfId="0" applyNumberFormat="1" applyBorder="1" applyAlignment="1">
      <alignment horizontal="right"/>
    </xf>
    <xf numFmtId="3" fontId="0" fillId="0" borderId="5" xfId="0" applyNumberFormat="1" applyBorder="1" applyAlignment="1">
      <alignment horizontal="center"/>
    </xf>
    <xf numFmtId="3" fontId="1" fillId="0" borderId="33" xfId="0" applyNumberFormat="1" applyFont="1" applyBorder="1" applyAlignment="1">
      <alignment horizontal="right"/>
    </xf>
    <xf numFmtId="0" fontId="1" fillId="0" borderId="10" xfId="0" applyFont="1" applyBorder="1" applyAlignment="1">
      <alignment horizontal="center"/>
    </xf>
    <xf numFmtId="166" fontId="0" fillId="0" borderId="10" xfId="0" applyNumberForma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166" fontId="0" fillId="0" borderId="13" xfId="0" applyNumberFormat="1" applyBorder="1" applyAlignment="1">
      <alignment horizontal="right"/>
    </xf>
    <xf numFmtId="0" fontId="0" fillId="0" borderId="19" xfId="0" applyFill="1" applyBorder="1"/>
    <xf numFmtId="0" fontId="0" fillId="0" borderId="20" xfId="0" applyFill="1" applyBorder="1"/>
    <xf numFmtId="3" fontId="0" fillId="0" borderId="36" xfId="0" applyNumberFormat="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wrapText="1"/>
    </xf>
    <xf numFmtId="0" fontId="0" fillId="0" borderId="19" xfId="0" applyFill="1" applyBorder="1" applyAlignment="1">
      <alignment wrapText="1"/>
    </xf>
    <xf numFmtId="0" fontId="0" fillId="0" borderId="20" xfId="0" applyBorder="1" applyAlignment="1">
      <alignment wrapText="1"/>
    </xf>
    <xf numFmtId="0" fontId="1" fillId="0" borderId="14" xfId="0" applyFont="1" applyBorder="1" applyAlignment="1">
      <alignment horizontal="center" vertical="center"/>
    </xf>
    <xf numFmtId="1" fontId="0" fillId="0" borderId="14" xfId="0" applyNumberFormat="1" applyBorder="1" applyAlignment="1">
      <alignment horizontal="right" vertical="center"/>
    </xf>
    <xf numFmtId="1" fontId="0" fillId="0" borderId="15" xfId="0" applyNumberFormat="1" applyBorder="1" applyAlignment="1">
      <alignment horizontal="right" vertical="center"/>
    </xf>
    <xf numFmtId="0" fontId="0" fillId="6" borderId="29" xfId="0" applyFill="1" applyBorder="1" applyAlignment="1">
      <alignment vertical="top"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17" xfId="0" applyFont="1" applyBorder="1" applyAlignment="1">
      <alignment horizontal="center" wrapText="1"/>
    </xf>
    <xf numFmtId="0" fontId="1" fillId="0" borderId="17" xfId="0" applyNumberFormat="1" applyFont="1" applyBorder="1" applyAlignment="1">
      <alignment horizontal="center" wrapText="1"/>
    </xf>
    <xf numFmtId="0" fontId="1" fillId="6" borderId="4" xfId="0" applyFont="1" applyFill="1" applyBorder="1" applyAlignment="1">
      <alignment vertical="top"/>
    </xf>
    <xf numFmtId="0" fontId="1" fillId="6" borderId="5" xfId="0" applyFont="1" applyFill="1" applyBorder="1" applyAlignment="1">
      <alignment vertical="top" wrapText="1"/>
    </xf>
    <xf numFmtId="0" fontId="1" fillId="6" borderId="6" xfId="0" applyFont="1" applyFill="1" applyBorder="1" applyAlignment="1">
      <alignment vertical="top" wrapText="1"/>
    </xf>
    <xf numFmtId="0" fontId="1" fillId="6" borderId="4" xfId="0" applyFont="1" applyFill="1" applyBorder="1" applyAlignment="1">
      <alignment vertical="top" wrapText="1"/>
    </xf>
    <xf numFmtId="0" fontId="1" fillId="0" borderId="0" xfId="0" applyFont="1" applyAlignment="1">
      <alignment horizontal="center" wrapText="1"/>
    </xf>
    <xf numFmtId="0" fontId="0" fillId="0" borderId="0" xfId="0" applyBorder="1" applyAlignment="1">
      <alignment wrapText="1"/>
    </xf>
    <xf numFmtId="0" fontId="1" fillId="0" borderId="17" xfId="0" applyFont="1" applyBorder="1"/>
    <xf numFmtId="0" fontId="1" fillId="0" borderId="18" xfId="0" applyFont="1" applyBorder="1" applyAlignment="1">
      <alignment horizontal="center" wrapText="1"/>
    </xf>
    <xf numFmtId="0" fontId="0" fillId="0" borderId="19" xfId="0" applyFont="1" applyBorder="1"/>
    <xf numFmtId="0" fontId="0" fillId="0" borderId="20" xfId="0" applyFont="1" applyBorder="1"/>
    <xf numFmtId="0" fontId="1" fillId="0" borderId="28" xfId="0" applyFont="1" applyBorder="1" applyAlignment="1">
      <alignment horizontal="left" wrapText="1"/>
    </xf>
    <xf numFmtId="0" fontId="0" fillId="0" borderId="29" xfId="0" applyBorder="1" applyAlignment="1">
      <alignment horizontal="left" wrapText="1"/>
    </xf>
    <xf numFmtId="2" fontId="0" fillId="0" borderId="19" xfId="0" applyNumberFormat="1" applyBorder="1" applyAlignment="1">
      <alignment horizontal="right"/>
    </xf>
    <xf numFmtId="9" fontId="0" fillId="0" borderId="19" xfId="0" applyNumberFormat="1" applyBorder="1" applyAlignment="1">
      <alignment horizontal="right"/>
    </xf>
    <xf numFmtId="9" fontId="0" fillId="0" borderId="20" xfId="0" applyNumberFormat="1" applyBorder="1" applyAlignment="1">
      <alignment horizontal="right"/>
    </xf>
    <xf numFmtId="0" fontId="1" fillId="0" borderId="16" xfId="0" applyFont="1" applyBorder="1" applyAlignment="1">
      <alignment horizontal="center" wrapText="1"/>
    </xf>
    <xf numFmtId="9" fontId="0" fillId="0" borderId="19" xfId="0" applyNumberFormat="1" applyBorder="1" applyAlignment="1">
      <alignment horizontal="right" vertical="center"/>
    </xf>
    <xf numFmtId="2" fontId="0" fillId="0" borderId="19" xfId="0" applyNumberFormat="1" applyBorder="1" applyAlignment="1">
      <alignment horizontal="right" vertical="center"/>
    </xf>
    <xf numFmtId="0" fontId="1" fillId="0" borderId="2" xfId="0" applyFont="1" applyBorder="1" applyAlignment="1">
      <alignment horizontal="left" wrapText="1"/>
    </xf>
    <xf numFmtId="0" fontId="0" fillId="0" borderId="3" xfId="0" applyBorder="1" applyAlignment="1">
      <alignment horizontal="left" wrapText="1"/>
    </xf>
    <xf numFmtId="0" fontId="0" fillId="0" borderId="19" xfId="0" applyFont="1" applyBorder="1" applyAlignment="1">
      <alignment wrapText="1"/>
    </xf>
    <xf numFmtId="0" fontId="0" fillId="0" borderId="20" xfId="0" applyFont="1" applyBorder="1" applyAlignment="1">
      <alignment wrapText="1"/>
    </xf>
    <xf numFmtId="9" fontId="0" fillId="0" borderId="14" xfId="0" applyNumberFormat="1" applyBorder="1" applyAlignment="1">
      <alignment horizontal="right" vertical="center"/>
    </xf>
    <xf numFmtId="9" fontId="0" fillId="0" borderId="15" xfId="0" applyNumberFormat="1" applyBorder="1" applyAlignment="1">
      <alignment horizontal="right" vertical="center"/>
    </xf>
    <xf numFmtId="0" fontId="9" fillId="0" borderId="0" xfId="0" applyFont="1"/>
    <xf numFmtId="0" fontId="10" fillId="0" borderId="0" xfId="0" applyFont="1"/>
    <xf numFmtId="0" fontId="1" fillId="0" borderId="0" xfId="0" applyFont="1" applyBorder="1" applyAlignment="1">
      <alignment horizontal="left" vertical="top" wrapText="1"/>
    </xf>
    <xf numFmtId="0" fontId="0" fillId="0" borderId="0" xfId="0" applyBorder="1" applyAlignment="1">
      <alignment horizontal="center" vertical="center"/>
    </xf>
    <xf numFmtId="10" fontId="0" fillId="0" borderId="0" xfId="0" applyNumberFormat="1" applyBorder="1" applyAlignment="1">
      <alignment horizontal="right" vertical="center"/>
    </xf>
    <xf numFmtId="0" fontId="0" fillId="0" borderId="25" xfId="0" applyFill="1" applyBorder="1" applyAlignment="1">
      <alignment wrapText="1"/>
    </xf>
    <xf numFmtId="0" fontId="0" fillId="0" borderId="25" xfId="0" applyFill="1" applyBorder="1" applyAlignment="1">
      <alignment horizontal="center" vertical="center"/>
    </xf>
    <xf numFmtId="10" fontId="0" fillId="0" borderId="25" xfId="0" applyNumberFormat="1" applyFill="1" applyBorder="1" applyAlignment="1">
      <alignment horizontal="right" vertical="center"/>
    </xf>
    <xf numFmtId="10" fontId="0" fillId="0" borderId="26" xfId="0" applyNumberFormat="1" applyFill="1" applyBorder="1" applyAlignment="1">
      <alignment horizontal="right" vertical="center"/>
    </xf>
    <xf numFmtId="0" fontId="0" fillId="0" borderId="10" xfId="0" applyFill="1" applyBorder="1" applyAlignment="1">
      <alignment wrapText="1"/>
    </xf>
    <xf numFmtId="0" fontId="0" fillId="0" borderId="10" xfId="0" applyFill="1" applyBorder="1" applyAlignment="1">
      <alignment horizontal="center" vertical="center"/>
    </xf>
    <xf numFmtId="10" fontId="0" fillId="0" borderId="10" xfId="0" applyNumberFormat="1" applyFill="1" applyBorder="1" applyAlignment="1">
      <alignment horizontal="right" vertical="center"/>
    </xf>
    <xf numFmtId="0" fontId="1" fillId="0" borderId="24" xfId="0" applyFont="1" applyFill="1" applyBorder="1" applyAlignment="1">
      <alignment vertical="top"/>
    </xf>
    <xf numFmtId="10" fontId="0" fillId="0" borderId="13" xfId="0" applyNumberFormat="1" applyFill="1" applyBorder="1" applyAlignment="1">
      <alignment horizontal="right" vertical="center"/>
    </xf>
    <xf numFmtId="0" fontId="0" fillId="0" borderId="14" xfId="0" applyFill="1" applyBorder="1" applyAlignment="1">
      <alignment wrapText="1"/>
    </xf>
    <xf numFmtId="0" fontId="0" fillId="0" borderId="14" xfId="0" applyFill="1" applyBorder="1" applyAlignment="1">
      <alignment horizontal="center" vertical="center"/>
    </xf>
    <xf numFmtId="10" fontId="0" fillId="0" borderId="14" xfId="0" applyNumberFormat="1" applyFill="1" applyBorder="1" applyAlignment="1">
      <alignment horizontal="right" vertical="center"/>
    </xf>
    <xf numFmtId="10" fontId="0" fillId="0" borderId="15" xfId="0" applyNumberFormat="1" applyFill="1" applyBorder="1" applyAlignment="1">
      <alignment horizontal="right" vertical="center"/>
    </xf>
    <xf numFmtId="0" fontId="0" fillId="0" borderId="39" xfId="0" applyBorder="1" applyAlignment="1">
      <alignment wrapText="1"/>
    </xf>
    <xf numFmtId="0" fontId="0" fillId="0" borderId="39" xfId="0" applyBorder="1" applyAlignment="1">
      <alignment horizontal="center" vertical="center"/>
    </xf>
    <xf numFmtId="10" fontId="0" fillId="0" borderId="39" xfId="0" applyNumberFormat="1" applyBorder="1" applyAlignment="1">
      <alignment horizontal="right" vertical="center"/>
    </xf>
    <xf numFmtId="10" fontId="0" fillId="0" borderId="40" xfId="0" applyNumberFormat="1" applyBorder="1" applyAlignment="1">
      <alignment horizontal="right" vertical="center"/>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2" xfId="0" applyNumberFormat="1" applyFont="1" applyBorder="1" applyAlignment="1">
      <alignment horizontal="center" wrapText="1"/>
    </xf>
    <xf numFmtId="0" fontId="1" fillId="0" borderId="23" xfId="0" applyFont="1" applyBorder="1" applyAlignment="1">
      <alignment horizontal="center" wrapText="1"/>
    </xf>
    <xf numFmtId="164" fontId="0" fillId="0" borderId="0" xfId="2" applyNumberFormat="1" applyFont="1" applyFill="1" applyAlignment="1" applyProtection="1">
      <alignment horizontal="right"/>
      <protection locked="0"/>
    </xf>
    <xf numFmtId="164" fontId="0" fillId="8" borderId="0" xfId="2" applyNumberFormat="1" applyFont="1" applyFill="1" applyAlignment="1" applyProtection="1">
      <alignment horizontal="right"/>
      <protection locked="0"/>
    </xf>
    <xf numFmtId="167" fontId="0" fillId="8" borderId="0" xfId="0" applyNumberFormat="1" applyFill="1" applyAlignment="1" applyProtection="1">
      <alignment horizontal="right"/>
      <protection locked="0"/>
    </xf>
    <xf numFmtId="167" fontId="0" fillId="0" borderId="0" xfId="0" applyNumberFormat="1" applyAlignment="1" applyProtection="1">
      <alignment horizontal="right"/>
      <protection locked="0"/>
    </xf>
    <xf numFmtId="164" fontId="1" fillId="8" borderId="0" xfId="2" applyNumberFormat="1" applyFont="1" applyFill="1" applyAlignment="1" applyProtection="1">
      <alignment horizontal="right" vertical="center"/>
      <protection locked="0"/>
    </xf>
    <xf numFmtId="164" fontId="0" fillId="0" borderId="0" xfId="2" applyNumberFormat="1" applyFont="1" applyAlignment="1" applyProtection="1">
      <alignment horizontal="right"/>
      <protection locked="0"/>
    </xf>
    <xf numFmtId="164" fontId="0" fillId="8" borderId="0" xfId="2" applyNumberFormat="1" applyFont="1" applyFill="1" applyAlignment="1" applyProtection="1">
      <alignment horizontal="right" vertical="center"/>
      <protection locked="0"/>
    </xf>
    <xf numFmtId="164" fontId="0" fillId="0" borderId="0" xfId="2" applyNumberFormat="1" applyFont="1" applyAlignment="1" applyProtection="1">
      <alignment horizontal="right" vertical="center"/>
      <protection locked="0"/>
    </xf>
    <xf numFmtId="164" fontId="0" fillId="0" borderId="0" xfId="2" applyNumberFormat="1" applyFont="1" applyAlignment="1">
      <alignment horizontal="right"/>
    </xf>
    <xf numFmtId="0" fontId="0" fillId="0" borderId="0" xfId="0" applyFill="1" applyAlignment="1">
      <alignment horizontal="left" wrapText="1"/>
    </xf>
    <xf numFmtId="0" fontId="0" fillId="0" borderId="0" xfId="0" applyAlignment="1">
      <alignment horizontal="left"/>
    </xf>
    <xf numFmtId="0" fontId="3" fillId="0" borderId="0" xfId="1" applyAlignment="1">
      <alignment horizontal="left"/>
    </xf>
    <xf numFmtId="0" fontId="6" fillId="0" borderId="0" xfId="0" applyFont="1" applyAlignment="1">
      <alignment horizontal="center"/>
    </xf>
    <xf numFmtId="0" fontId="7" fillId="0" borderId="0" xfId="0" applyFont="1" applyAlignment="1">
      <alignment horizontal="center"/>
    </xf>
    <xf numFmtId="0" fontId="1" fillId="0" borderId="0" xfId="0" applyFont="1" applyAlignment="1">
      <alignment horizontal="left"/>
    </xf>
    <xf numFmtId="0" fontId="0" fillId="0" borderId="11" xfId="0"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0" fillId="0" borderId="0" xfId="0" applyFont="1" applyAlignment="1">
      <alignment horizontal="left" wrapText="1"/>
    </xf>
    <xf numFmtId="0" fontId="0" fillId="0" borderId="0" xfId="0" applyFont="1" applyFill="1" applyAlignment="1">
      <alignment horizontal="left" wrapText="1"/>
    </xf>
    <xf numFmtId="0" fontId="1" fillId="6" borderId="27" xfId="0" applyFont="1" applyFill="1" applyBorder="1" applyAlignment="1">
      <alignment horizontal="left" vertical="top"/>
    </xf>
    <xf numFmtId="0" fontId="1" fillId="6" borderId="28" xfId="0" applyFont="1" applyFill="1" applyBorder="1" applyAlignment="1">
      <alignment horizontal="left" vertical="top"/>
    </xf>
    <xf numFmtId="0" fontId="0" fillId="0" borderId="11"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0" fillId="0" borderId="0" xfId="0"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7" xfId="0" applyFont="1" applyBorder="1" applyAlignment="1">
      <alignment horizontal="center" wrapText="1"/>
    </xf>
    <xf numFmtId="0" fontId="1" fillId="0" borderId="28"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0" fillId="0" borderId="0" xfId="0" applyFont="1" applyFill="1" applyAlignment="1">
      <alignment horizontal="left" vertical="top" wrapText="1"/>
    </xf>
    <xf numFmtId="0" fontId="5" fillId="0" borderId="16" xfId="0" applyFont="1" applyBorder="1" applyAlignment="1">
      <alignment horizontal="left"/>
    </xf>
    <xf numFmtId="0" fontId="5" fillId="0" borderId="17" xfId="0" applyFont="1" applyBorder="1" applyAlignment="1">
      <alignment horizontal="left"/>
    </xf>
    <xf numFmtId="0" fontId="1" fillId="0" borderId="0" xfId="0" applyFont="1" applyAlignment="1">
      <alignment horizontal="center"/>
    </xf>
    <xf numFmtId="0" fontId="1" fillId="0" borderId="0"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Fill="1" applyBorder="1" applyAlignment="1">
      <alignment horizontal="left" vertical="top"/>
    </xf>
    <xf numFmtId="0" fontId="1" fillId="0" borderId="37" xfId="0" applyFont="1" applyFill="1" applyBorder="1" applyAlignment="1">
      <alignment horizontal="left" vertical="top"/>
    </xf>
    <xf numFmtId="0" fontId="1" fillId="0" borderId="38" xfId="0" applyFont="1" applyFill="1" applyBorder="1" applyAlignment="1">
      <alignment horizontal="left" vertical="top"/>
    </xf>
    <xf numFmtId="0" fontId="1" fillId="0" borderId="1" xfId="0" applyFont="1" applyBorder="1" applyAlignment="1">
      <alignment horizontal="center" vertical="top" wrapText="1"/>
    </xf>
    <xf numFmtId="0" fontId="1" fillId="0" borderId="11" xfId="0" applyFont="1" applyBorder="1" applyAlignment="1">
      <alignment horizontal="center" vertical="top" wrapText="1"/>
    </xf>
    <xf numFmtId="0" fontId="1" fillId="0" borderId="4" xfId="0" applyFont="1" applyBorder="1" applyAlignment="1">
      <alignment horizontal="center" vertical="top" wrapText="1"/>
    </xf>
  </cellXfs>
  <cellStyles count="3">
    <cellStyle name="Comma" xfId="2" builtinId="3"/>
    <cellStyle name="Hyperlink" xfId="1" builtinId="8"/>
    <cellStyle name="Normal" xfId="0" builtinId="0"/>
  </cellStyles>
  <dxfs count="15">
    <dxf>
      <fill>
        <patternFill>
          <bgColor rgb="FF5AB4AC"/>
        </patternFill>
      </fill>
    </dxf>
    <dxf>
      <fill>
        <patternFill>
          <bgColor rgb="FFF6E8C3"/>
        </patternFill>
      </fill>
    </dxf>
    <dxf>
      <fill>
        <patternFill>
          <bgColor rgb="FFD8B365"/>
        </patternFill>
      </fill>
    </dxf>
    <dxf>
      <fill>
        <patternFill>
          <bgColor rgb="FFC4720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8B365"/>
        </patternFill>
      </fill>
    </dxf>
    <dxf>
      <fill>
        <patternFill>
          <bgColor rgb="FFF6E8C3"/>
        </patternFill>
      </fill>
    </dxf>
    <dxf>
      <fill>
        <patternFill>
          <bgColor rgb="FFC4720E"/>
        </patternFill>
      </fill>
    </dxf>
    <dxf>
      <fill>
        <patternFill>
          <bgColor rgb="FF5AB4A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4720E"/>
      <color rgb="FFD8B365"/>
      <color rgb="FFF6E8C3"/>
      <color rgb="FF5AB4AC"/>
      <color rgb="FF8C51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142876</xdr:rowOff>
    </xdr:from>
    <xdr:to>
      <xdr:col>2</xdr:col>
      <xdr:colOff>276225</xdr:colOff>
      <xdr:row>5</xdr:row>
      <xdr:rowOff>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333376"/>
          <a:ext cx="876300" cy="876300"/>
        </a:xfrm>
        <a:prstGeom prst="rect">
          <a:avLst/>
        </a:prstGeom>
      </xdr:spPr>
    </xdr:pic>
    <xdr:clientData/>
  </xdr:twoCellAnchor>
  <xdr:twoCellAnchor editAs="oneCell">
    <xdr:from>
      <xdr:col>6</xdr:col>
      <xdr:colOff>57150</xdr:colOff>
      <xdr:row>3</xdr:row>
      <xdr:rowOff>9525</xdr:rowOff>
    </xdr:from>
    <xdr:to>
      <xdr:col>8</xdr:col>
      <xdr:colOff>600075</xdr:colOff>
      <xdr:row>4</xdr:row>
      <xdr:rowOff>171451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046" b="40230"/>
        <a:stretch/>
      </xdr:blipFill>
      <xdr:spPr>
        <a:xfrm>
          <a:off x="3714750" y="762000"/>
          <a:ext cx="1762125" cy="428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ud.gov/offices/cpd/about/conplan/cp_training_ta.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I12"/>
  <sheetViews>
    <sheetView workbookViewId="0"/>
  </sheetViews>
  <sheetFormatPr defaultRowHeight="15" x14ac:dyDescent="0.25"/>
  <sheetData>
    <row r="2" spans="2:9" ht="23.25" x14ac:dyDescent="0.35">
      <c r="B2" s="193" t="s">
        <v>219</v>
      </c>
      <c r="C2" s="193"/>
      <c r="D2" s="193"/>
      <c r="E2" s="193"/>
      <c r="F2" s="193"/>
      <c r="G2" s="193"/>
      <c r="H2" s="193"/>
      <c r="I2" s="193"/>
    </row>
    <row r="3" spans="2:9" ht="21" x14ac:dyDescent="0.35">
      <c r="B3" s="194" t="s">
        <v>220</v>
      </c>
      <c r="C3" s="194"/>
      <c r="D3" s="194"/>
      <c r="E3" s="194"/>
      <c r="F3" s="194"/>
      <c r="G3" s="194"/>
      <c r="H3" s="194"/>
      <c r="I3" s="194"/>
    </row>
    <row r="4" spans="2:9" ht="21" x14ac:dyDescent="0.35">
      <c r="B4" s="73"/>
      <c r="C4" s="73"/>
      <c r="D4" s="73"/>
      <c r="E4" s="73"/>
      <c r="F4" s="73"/>
      <c r="G4" s="73"/>
      <c r="H4" s="73"/>
      <c r="I4" s="73"/>
    </row>
    <row r="6" spans="2:9" ht="109.5" customHeight="1" x14ac:dyDescent="0.25">
      <c r="B6" s="190" t="s">
        <v>222</v>
      </c>
      <c r="C6" s="190"/>
      <c r="D6" s="190"/>
      <c r="E6" s="190"/>
      <c r="F6" s="190"/>
      <c r="G6" s="190"/>
      <c r="H6" s="190"/>
      <c r="I6" s="190"/>
    </row>
    <row r="9" spans="2:9" ht="89.25" customHeight="1" x14ac:dyDescent="0.25">
      <c r="B9" s="190" t="s">
        <v>221</v>
      </c>
      <c r="C9" s="190"/>
      <c r="D9" s="190"/>
      <c r="E9" s="190"/>
      <c r="F9" s="190"/>
      <c r="G9" s="190"/>
      <c r="H9" s="190"/>
      <c r="I9" s="190"/>
    </row>
    <row r="11" spans="2:9" x14ac:dyDescent="0.25">
      <c r="B11" s="191" t="s">
        <v>38</v>
      </c>
      <c r="C11" s="191"/>
      <c r="D11" s="191"/>
      <c r="E11" s="191"/>
      <c r="F11" s="191"/>
      <c r="G11" s="191"/>
      <c r="H11" s="191"/>
      <c r="I11" s="191"/>
    </row>
    <row r="12" spans="2:9" x14ac:dyDescent="0.25">
      <c r="B12" s="192" t="s">
        <v>39</v>
      </c>
      <c r="C12" s="191"/>
      <c r="D12" s="191"/>
      <c r="E12" s="191"/>
      <c r="F12" s="191"/>
      <c r="G12" s="191"/>
      <c r="H12" s="191"/>
      <c r="I12" s="191"/>
    </row>
  </sheetData>
  <mergeCells count="6">
    <mergeCell ref="B9:I9"/>
    <mergeCell ref="B11:I11"/>
    <mergeCell ref="B12:I12"/>
    <mergeCell ref="B2:I2"/>
    <mergeCell ref="B3:I3"/>
    <mergeCell ref="B6:I6"/>
  </mergeCells>
  <hyperlinks>
    <hyperlink ref="B12" r:id="rId1"/>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69"/>
  <sheetViews>
    <sheetView topLeftCell="A22" zoomScaleNormal="100" workbookViewId="0">
      <selection activeCell="J20" sqref="J20"/>
    </sheetView>
  </sheetViews>
  <sheetFormatPr defaultRowHeight="15" x14ac:dyDescent="0.25"/>
  <cols>
    <col min="2" max="2" width="20.42578125" bestFit="1" customWidth="1"/>
    <col min="3" max="3" width="11.42578125" customWidth="1"/>
    <col min="4" max="4" width="6.7109375" bestFit="1" customWidth="1"/>
    <col min="5" max="5" width="20.42578125" bestFit="1" customWidth="1"/>
    <col min="6" max="6" width="13.42578125" customWidth="1"/>
    <col min="7" max="7" width="10.28515625" customWidth="1"/>
    <col min="8" max="10" width="10.5703125" customWidth="1"/>
    <col min="11" max="11" width="2.28515625" customWidth="1"/>
  </cols>
  <sheetData>
    <row r="1" spans="1:10" hidden="1" x14ac:dyDescent="0.25">
      <c r="A1" s="1"/>
      <c r="B1" s="1"/>
      <c r="C1" s="1"/>
      <c r="D1" s="1"/>
      <c r="E1" s="1"/>
      <c r="F1" s="1"/>
      <c r="G1" s="1"/>
      <c r="H1" s="1"/>
      <c r="I1" s="1"/>
      <c r="J1" s="1"/>
    </row>
    <row r="3" spans="1:10" ht="63" customHeight="1" x14ac:dyDescent="0.25">
      <c r="B3" s="206" t="s">
        <v>40</v>
      </c>
      <c r="C3" s="206"/>
      <c r="D3" s="206"/>
      <c r="E3" s="206"/>
      <c r="F3" s="206"/>
      <c r="G3" s="206"/>
      <c r="H3" s="206"/>
      <c r="I3" s="206"/>
      <c r="J3" s="206"/>
    </row>
    <row r="5" spans="1:10" hidden="1" x14ac:dyDescent="0.25"/>
    <row r="6" spans="1:10" hidden="1" x14ac:dyDescent="0.25">
      <c r="B6" s="1"/>
    </row>
    <row r="7" spans="1:10" ht="44.25" hidden="1" customHeight="1" x14ac:dyDescent="0.25">
      <c r="B7" s="190"/>
      <c r="C7" s="190"/>
      <c r="D7" s="190"/>
      <c r="E7" s="190"/>
      <c r="F7" s="190"/>
      <c r="G7" s="190"/>
      <c r="H7" s="190"/>
      <c r="I7" s="190"/>
      <c r="J7" s="190"/>
    </row>
    <row r="8" spans="1:10" hidden="1" x14ac:dyDescent="0.25">
      <c r="B8" s="190"/>
      <c r="C8" s="190"/>
      <c r="D8" s="190"/>
      <c r="E8" s="190"/>
      <c r="F8" s="190"/>
      <c r="G8" s="190"/>
      <c r="H8" s="190"/>
      <c r="I8" s="190"/>
      <c r="J8" s="190"/>
    </row>
    <row r="9" spans="1:10" ht="31.5" hidden="1" customHeight="1" x14ac:dyDescent="0.25">
      <c r="B9" s="190"/>
      <c r="C9" s="190"/>
      <c r="D9" s="190"/>
      <c r="E9" s="190"/>
      <c r="F9" s="190"/>
      <c r="G9" s="190"/>
      <c r="H9" s="190"/>
      <c r="I9" s="190"/>
      <c r="J9" s="190"/>
    </row>
    <row r="10" spans="1:10" ht="30.75" hidden="1" customHeight="1" x14ac:dyDescent="0.25">
      <c r="B10" s="190"/>
      <c r="C10" s="190"/>
      <c r="D10" s="190"/>
      <c r="E10" s="190"/>
      <c r="F10" s="190"/>
      <c r="G10" s="190"/>
      <c r="H10" s="190"/>
      <c r="I10" s="190"/>
      <c r="J10" s="190"/>
    </row>
    <row r="11" spans="1:10" hidden="1" x14ac:dyDescent="0.25">
      <c r="B11" s="191"/>
      <c r="C11" s="191"/>
      <c r="D11" s="191"/>
      <c r="E11" s="191"/>
      <c r="F11" s="191"/>
    </row>
    <row r="12" spans="1:10" hidden="1" x14ac:dyDescent="0.25"/>
    <row r="14" spans="1:10" x14ac:dyDescent="0.25">
      <c r="B14" s="1" t="s">
        <v>262</v>
      </c>
    </row>
    <row r="15" spans="1:10" ht="76.5" customHeight="1" thickBot="1" x14ac:dyDescent="0.3">
      <c r="B15" s="199" t="s">
        <v>223</v>
      </c>
      <c r="C15" s="199"/>
      <c r="D15" s="199"/>
      <c r="E15" s="199"/>
      <c r="F15" s="199"/>
      <c r="G15" s="199"/>
      <c r="H15" s="199"/>
      <c r="I15" s="199"/>
      <c r="J15" s="199"/>
    </row>
    <row r="16" spans="1:10" ht="15.75" thickBot="1" x14ac:dyDescent="0.3">
      <c r="B16" s="1"/>
      <c r="C16" s="201" t="s">
        <v>41</v>
      </c>
      <c r="D16" s="202"/>
      <c r="E16" s="126" t="s">
        <v>264</v>
      </c>
      <c r="F16" s="15"/>
      <c r="G16" s="15"/>
    </row>
    <row r="17" spans="2:15" x14ac:dyDescent="0.25">
      <c r="B17" s="1"/>
    </row>
    <row r="18" spans="2:15" x14ac:dyDescent="0.25">
      <c r="B18" s="1" t="s">
        <v>263</v>
      </c>
    </row>
    <row r="19" spans="2:15" ht="28.5" customHeight="1" x14ac:dyDescent="0.25">
      <c r="B19" s="200" t="s">
        <v>225</v>
      </c>
      <c r="C19" s="200"/>
      <c r="D19" s="200"/>
      <c r="E19" s="200"/>
      <c r="F19" s="200"/>
      <c r="G19" s="200"/>
      <c r="H19" s="200"/>
      <c r="I19" s="200"/>
      <c r="J19" s="200"/>
    </row>
    <row r="20" spans="2:15" x14ac:dyDescent="0.25">
      <c r="B20" s="1"/>
    </row>
    <row r="21" spans="2:15" x14ac:dyDescent="0.25">
      <c r="B21" s="1"/>
    </row>
    <row r="22" spans="2:15" x14ac:dyDescent="0.25">
      <c r="B22" s="1"/>
    </row>
    <row r="23" spans="2:15" x14ac:dyDescent="0.25">
      <c r="B23" s="1"/>
      <c r="D23" s="195" t="s">
        <v>42</v>
      </c>
      <c r="E23" s="195"/>
      <c r="F23" s="16"/>
    </row>
    <row r="24" spans="2:15" ht="15.75" thickBot="1" x14ac:dyDescent="0.3">
      <c r="B24" s="1"/>
    </row>
    <row r="25" spans="2:15" x14ac:dyDescent="0.25">
      <c r="D25" s="21" t="s">
        <v>43</v>
      </c>
      <c r="E25" s="22"/>
      <c r="F25" s="22"/>
      <c r="G25" s="23"/>
      <c r="H25" s="23"/>
      <c r="I25" s="23"/>
      <c r="J25" s="24"/>
    </row>
    <row r="26" spans="2:15" ht="60" customHeight="1" x14ac:dyDescent="0.25">
      <c r="D26" s="203" t="s">
        <v>242</v>
      </c>
      <c r="E26" s="204"/>
      <c r="F26" s="204"/>
      <c r="G26" s="204"/>
      <c r="H26" s="204"/>
      <c r="I26" s="204"/>
      <c r="J26" s="205"/>
    </row>
    <row r="27" spans="2:15" ht="58.5" customHeight="1" thickBot="1" x14ac:dyDescent="0.3">
      <c r="D27" s="196" t="s">
        <v>224</v>
      </c>
      <c r="E27" s="197"/>
      <c r="F27" s="197"/>
      <c r="G27" s="197"/>
      <c r="H27" s="197"/>
      <c r="I27" s="197"/>
      <c r="J27" s="198"/>
    </row>
    <row r="28" spans="2:15" ht="15.75" thickBot="1" x14ac:dyDescent="0.3">
      <c r="D28" s="25"/>
      <c r="E28" s="20"/>
      <c r="F28" s="20"/>
      <c r="G28" s="210" t="s">
        <v>244</v>
      </c>
      <c r="H28" s="211"/>
      <c r="I28" s="141" t="s">
        <v>245</v>
      </c>
      <c r="J28" s="142"/>
      <c r="L28" s="207" t="s">
        <v>243</v>
      </c>
      <c r="M28" s="208"/>
      <c r="N28" s="208"/>
      <c r="O28" s="209"/>
    </row>
    <row r="29" spans="2:15" ht="30" x14ac:dyDescent="0.25">
      <c r="D29" s="26"/>
      <c r="E29" s="101" t="s">
        <v>47</v>
      </c>
      <c r="F29" s="137" t="s">
        <v>46</v>
      </c>
      <c r="G29" s="129" t="s">
        <v>32</v>
      </c>
      <c r="H29" s="129" t="s">
        <v>33</v>
      </c>
      <c r="I29" s="129" t="s">
        <v>35</v>
      </c>
      <c r="J29" s="138" t="s">
        <v>34</v>
      </c>
      <c r="L29" s="146" t="s">
        <v>32</v>
      </c>
      <c r="M29" s="129" t="s">
        <v>33</v>
      </c>
      <c r="N29" s="129" t="s">
        <v>35</v>
      </c>
      <c r="O29" s="138" t="s">
        <v>34</v>
      </c>
    </row>
    <row r="30" spans="2:15" x14ac:dyDescent="0.25">
      <c r="D30" s="26"/>
      <c r="E30" s="139" t="s">
        <v>5</v>
      </c>
      <c r="F30" s="17" t="s">
        <v>44</v>
      </c>
      <c r="G30" s="18">
        <f>IF($I$28="Custom",L30,1.25)</f>
        <v>1.25</v>
      </c>
      <c r="H30" s="18">
        <f>IF($I$28="Custom",M30,1.5)</f>
        <v>1.5</v>
      </c>
      <c r="I30" s="18">
        <f>IF($I$28="Custom",N30,2)</f>
        <v>2</v>
      </c>
      <c r="J30" s="27">
        <f>IF($I$28="Custom",O30,0.75)</f>
        <v>0.75</v>
      </c>
      <c r="L30" s="143">
        <v>0</v>
      </c>
      <c r="M30" s="18">
        <v>0</v>
      </c>
      <c r="N30" s="18">
        <v>0</v>
      </c>
      <c r="O30" s="27">
        <v>0</v>
      </c>
    </row>
    <row r="31" spans="2:15" x14ac:dyDescent="0.25">
      <c r="D31" s="26"/>
      <c r="E31" s="139" t="s">
        <v>6</v>
      </c>
      <c r="F31" s="17" t="s">
        <v>44</v>
      </c>
      <c r="G31" s="18">
        <f>IF($I$28="Custom",L31,1.5)</f>
        <v>1.5</v>
      </c>
      <c r="H31" s="18">
        <f>IF($I$28="Custom",M31,2)</f>
        <v>2</v>
      </c>
      <c r="I31" s="18">
        <f>IF($I$28="Custom",N31,3)</f>
        <v>3</v>
      </c>
      <c r="J31" s="27">
        <f>IF($I$28="Custom",O31,0.75)</f>
        <v>0.75</v>
      </c>
      <c r="L31" s="143">
        <v>0</v>
      </c>
      <c r="M31" s="18">
        <v>0</v>
      </c>
      <c r="N31" s="18">
        <v>0</v>
      </c>
      <c r="O31" s="27">
        <v>0</v>
      </c>
    </row>
    <row r="32" spans="2:15" x14ac:dyDescent="0.25">
      <c r="D32" s="26"/>
      <c r="E32" s="139" t="s">
        <v>7</v>
      </c>
      <c r="F32" s="17" t="s">
        <v>45</v>
      </c>
      <c r="G32" s="19">
        <f>IF($I$28="Custom",L32,0.05)</f>
        <v>0.05</v>
      </c>
      <c r="H32" s="19">
        <f>IF($I$28="Custom",M32,0.1)</f>
        <v>0.1</v>
      </c>
      <c r="I32" s="19">
        <f>IF($I$28="Custom",N32,0.2)</f>
        <v>0.2</v>
      </c>
      <c r="J32" s="28">
        <f>IF($I$28="Custom",O32,-0.05)</f>
        <v>-0.05</v>
      </c>
      <c r="L32" s="144">
        <v>0</v>
      </c>
      <c r="M32" s="19">
        <v>0</v>
      </c>
      <c r="N32" s="19">
        <v>0</v>
      </c>
      <c r="O32" s="28">
        <v>0</v>
      </c>
    </row>
    <row r="33" spans="4:15" x14ac:dyDescent="0.25">
      <c r="D33" s="26"/>
      <c r="E33" s="139" t="s">
        <v>0</v>
      </c>
      <c r="F33" s="17" t="s">
        <v>44</v>
      </c>
      <c r="G33" s="18">
        <f>IF($I$28="Custom",L33,1.25)</f>
        <v>1.25</v>
      </c>
      <c r="H33" s="18">
        <f>IF($I$28="Custom",M33,1.5)</f>
        <v>1.5</v>
      </c>
      <c r="I33" s="18">
        <f>IF($I$28="Custom",N33,2)</f>
        <v>2</v>
      </c>
      <c r="J33" s="27">
        <f>IF($I$28="Custom",O33,0.75)</f>
        <v>0.75</v>
      </c>
      <c r="L33" s="143">
        <v>0</v>
      </c>
      <c r="M33" s="18">
        <v>0</v>
      </c>
      <c r="N33" s="18">
        <v>0</v>
      </c>
      <c r="O33" s="27">
        <v>0</v>
      </c>
    </row>
    <row r="34" spans="4:15" x14ac:dyDescent="0.25">
      <c r="D34" s="26"/>
      <c r="E34" s="139" t="s">
        <v>1</v>
      </c>
      <c r="F34" s="17" t="s">
        <v>45</v>
      </c>
      <c r="G34" s="19">
        <f t="shared" ref="G34:G39" si="0">IF($I$28="Custom",L34,0.05)</f>
        <v>0.05</v>
      </c>
      <c r="H34" s="19">
        <f>IF($I$28="Custom",M34,0.1)</f>
        <v>0.1</v>
      </c>
      <c r="I34" s="19">
        <f>IF($I$28="Custom",N34,0.2)</f>
        <v>0.2</v>
      </c>
      <c r="J34" s="28">
        <f>IF($I$28="Custom",O34,-0.05)</f>
        <v>-0.05</v>
      </c>
      <c r="L34" s="144">
        <v>0</v>
      </c>
      <c r="M34" s="19">
        <v>0</v>
      </c>
      <c r="N34" s="19">
        <v>0</v>
      </c>
      <c r="O34" s="28">
        <v>0</v>
      </c>
    </row>
    <row r="35" spans="4:15" x14ac:dyDescent="0.25">
      <c r="D35" s="26"/>
      <c r="E35" s="139" t="s">
        <v>2</v>
      </c>
      <c r="F35" s="17" t="s">
        <v>45</v>
      </c>
      <c r="G35" s="19">
        <f t="shared" si="0"/>
        <v>0.05</v>
      </c>
      <c r="H35" s="19">
        <f t="shared" ref="H35:H37" si="1">IF($I$28="Custom",M35,0.1)</f>
        <v>0.1</v>
      </c>
      <c r="I35" s="19">
        <f t="shared" ref="I35:I37" si="2">IF($I$28="Custom",N35,0.2)</f>
        <v>0.2</v>
      </c>
      <c r="J35" s="28">
        <f>IF($I$28="Custom",O35,-0.05)</f>
        <v>-0.05</v>
      </c>
      <c r="L35" s="144">
        <v>0</v>
      </c>
      <c r="M35" s="19">
        <v>0</v>
      </c>
      <c r="N35" s="19">
        <v>0</v>
      </c>
      <c r="O35" s="28">
        <v>0</v>
      </c>
    </row>
    <row r="36" spans="4:15" x14ac:dyDescent="0.25">
      <c r="D36" s="26"/>
      <c r="E36" s="139" t="s">
        <v>3</v>
      </c>
      <c r="F36" s="17" t="s">
        <v>45</v>
      </c>
      <c r="G36" s="19">
        <f t="shared" si="0"/>
        <v>0.05</v>
      </c>
      <c r="H36" s="19">
        <f t="shared" si="1"/>
        <v>0.1</v>
      </c>
      <c r="I36" s="19">
        <f t="shared" si="2"/>
        <v>0.2</v>
      </c>
      <c r="J36" s="28">
        <f>IF($I$28="Custom",O36,-0.05)</f>
        <v>-0.05</v>
      </c>
      <c r="L36" s="144">
        <v>0</v>
      </c>
      <c r="M36" s="19">
        <v>0</v>
      </c>
      <c r="N36" s="19">
        <v>0</v>
      </c>
      <c r="O36" s="28">
        <v>0</v>
      </c>
    </row>
    <row r="37" spans="4:15" x14ac:dyDescent="0.25">
      <c r="D37" s="26"/>
      <c r="E37" s="139" t="s">
        <v>4</v>
      </c>
      <c r="F37" s="17" t="s">
        <v>45</v>
      </c>
      <c r="G37" s="19">
        <f t="shared" si="0"/>
        <v>0.05</v>
      </c>
      <c r="H37" s="19">
        <f t="shared" si="1"/>
        <v>0.1</v>
      </c>
      <c r="I37" s="19">
        <f t="shared" si="2"/>
        <v>0.2</v>
      </c>
      <c r="J37" s="28">
        <f>IF($I$28="Custom",O37,-0.05)</f>
        <v>-0.05</v>
      </c>
      <c r="L37" s="144">
        <v>0</v>
      </c>
      <c r="M37" s="19">
        <v>0</v>
      </c>
      <c r="N37" s="19">
        <v>0</v>
      </c>
      <c r="O37" s="28">
        <v>0</v>
      </c>
    </row>
    <row r="38" spans="4:15" x14ac:dyDescent="0.25">
      <c r="D38" s="26"/>
      <c r="E38" s="139" t="s">
        <v>25</v>
      </c>
      <c r="F38" s="17" t="s">
        <v>45</v>
      </c>
      <c r="G38" s="19">
        <f>IF($I$28="Custom",L38,0.1)</f>
        <v>0.1</v>
      </c>
      <c r="H38" s="19">
        <f>IF($I$28="Custom",M38,0.2)</f>
        <v>0.2</v>
      </c>
      <c r="I38" s="19">
        <f>IF($I$28="Custom",N38,0.3)</f>
        <v>0.3</v>
      </c>
      <c r="J38" s="28">
        <f>IF($I$28="Custom",O38,-0.2)</f>
        <v>-0.2</v>
      </c>
      <c r="L38" s="144">
        <v>0</v>
      </c>
      <c r="M38" s="19">
        <v>0</v>
      </c>
      <c r="N38" s="19">
        <v>0</v>
      </c>
      <c r="O38" s="28">
        <v>0</v>
      </c>
    </row>
    <row r="39" spans="4:15" ht="15.75" thickBot="1" x14ac:dyDescent="0.3">
      <c r="D39" s="29"/>
      <c r="E39" s="140" t="s">
        <v>37</v>
      </c>
      <c r="F39" s="30" t="s">
        <v>45</v>
      </c>
      <c r="G39" s="31">
        <f t="shared" si="0"/>
        <v>0.05</v>
      </c>
      <c r="H39" s="31">
        <f>IF($I$28="Custom",M39,0.1)</f>
        <v>0.1</v>
      </c>
      <c r="I39" s="31">
        <f>IF($I$28="Custom",N39,0.15)</f>
        <v>0.15</v>
      </c>
      <c r="J39" s="32">
        <f>IF($I$28="Custom",O39,-0.1)</f>
        <v>-0.1</v>
      </c>
      <c r="L39" s="145">
        <v>0</v>
      </c>
      <c r="M39" s="31">
        <v>0</v>
      </c>
      <c r="N39" s="31">
        <v>0</v>
      </c>
      <c r="O39" s="32">
        <v>0</v>
      </c>
    </row>
    <row r="40" spans="4:15" x14ac:dyDescent="0.25">
      <c r="G40" s="14"/>
      <c r="H40" s="14"/>
      <c r="I40" s="14"/>
      <c r="J40" s="14"/>
    </row>
    <row r="44" spans="4:15" ht="15.75" thickBot="1" x14ac:dyDescent="0.3"/>
    <row r="45" spans="4:15" x14ac:dyDescent="0.25">
      <c r="D45" s="21" t="s">
        <v>202</v>
      </c>
      <c r="E45" s="22"/>
      <c r="F45" s="22"/>
      <c r="G45" s="23"/>
      <c r="H45" s="23"/>
      <c r="I45" s="23"/>
      <c r="J45" s="24"/>
    </row>
    <row r="46" spans="4:15" ht="60.75" customHeight="1" x14ac:dyDescent="0.25">
      <c r="D46" s="203" t="s">
        <v>242</v>
      </c>
      <c r="E46" s="204"/>
      <c r="F46" s="204"/>
      <c r="G46" s="204"/>
      <c r="H46" s="204"/>
      <c r="I46" s="204"/>
      <c r="J46" s="205"/>
    </row>
    <row r="47" spans="4:15" ht="58.5" customHeight="1" thickBot="1" x14ac:dyDescent="0.3">
      <c r="D47" s="196" t="s">
        <v>224</v>
      </c>
      <c r="E47" s="197"/>
      <c r="F47" s="197"/>
      <c r="G47" s="197"/>
      <c r="H47" s="197"/>
      <c r="I47" s="197"/>
      <c r="J47" s="198"/>
    </row>
    <row r="48" spans="4:15" ht="15.75" thickBot="1" x14ac:dyDescent="0.3">
      <c r="D48" s="41"/>
      <c r="E48" s="42"/>
      <c r="F48" s="42"/>
      <c r="G48" s="212" t="s">
        <v>244</v>
      </c>
      <c r="H48" s="213"/>
      <c r="I48" s="149" t="s">
        <v>245</v>
      </c>
      <c r="J48" s="150"/>
      <c r="L48" s="207" t="s">
        <v>243</v>
      </c>
      <c r="M48" s="208"/>
      <c r="N48" s="208"/>
      <c r="O48" s="209"/>
    </row>
    <row r="49" spans="4:15" ht="30" x14ac:dyDescent="0.25">
      <c r="D49" s="26"/>
      <c r="E49" s="101" t="s">
        <v>203</v>
      </c>
      <c r="F49" s="137" t="s">
        <v>46</v>
      </c>
      <c r="G49" s="129" t="s">
        <v>32</v>
      </c>
      <c r="H49" s="129" t="s">
        <v>33</v>
      </c>
      <c r="I49" s="129" t="s">
        <v>35</v>
      </c>
      <c r="J49" s="138" t="s">
        <v>34</v>
      </c>
      <c r="L49" s="146" t="s">
        <v>32</v>
      </c>
      <c r="M49" s="129" t="s">
        <v>33</v>
      </c>
      <c r="N49" s="129" t="s">
        <v>35</v>
      </c>
      <c r="O49" s="138" t="s">
        <v>34</v>
      </c>
    </row>
    <row r="50" spans="4:15" x14ac:dyDescent="0.25">
      <c r="D50" s="26"/>
      <c r="E50" s="139" t="s">
        <v>6</v>
      </c>
      <c r="F50" s="17" t="s">
        <v>44</v>
      </c>
      <c r="G50" s="18">
        <f>IF($I$48="Custom",L50,1.5)</f>
        <v>1.5</v>
      </c>
      <c r="H50" s="18">
        <f>IF($I$48="Custom",M50,2)</f>
        <v>2</v>
      </c>
      <c r="I50" s="18">
        <f>IF($I$48="Custom",N50,3)</f>
        <v>3</v>
      </c>
      <c r="J50" s="27">
        <f>IF($I$48="Custom",O50,0.75)</f>
        <v>0.75</v>
      </c>
      <c r="L50" s="143">
        <v>0</v>
      </c>
      <c r="M50" s="18">
        <v>0</v>
      </c>
      <c r="N50" s="18">
        <v>0</v>
      </c>
      <c r="O50" s="27">
        <v>0</v>
      </c>
    </row>
    <row r="51" spans="4:15" x14ac:dyDescent="0.25">
      <c r="D51" s="26"/>
      <c r="E51" s="139" t="s">
        <v>204</v>
      </c>
      <c r="F51" s="17" t="s">
        <v>44</v>
      </c>
      <c r="G51" s="18">
        <f>IF($I$48="Custom",L51,1.25)</f>
        <v>1.25</v>
      </c>
      <c r="H51" s="18">
        <f>IF($I$48="Custom",M51,1.5)</f>
        <v>1.5</v>
      </c>
      <c r="I51" s="18">
        <f>IF($I$48="Custom",N51,2)</f>
        <v>2</v>
      </c>
      <c r="J51" s="27">
        <f>IF($I$48="Custom",O51,0.75)</f>
        <v>0.75</v>
      </c>
      <c r="L51" s="143">
        <v>0</v>
      </c>
      <c r="M51" s="18">
        <v>0</v>
      </c>
      <c r="N51" s="18">
        <v>0</v>
      </c>
      <c r="O51" s="27">
        <v>0</v>
      </c>
    </row>
    <row r="52" spans="4:15" x14ac:dyDescent="0.25">
      <c r="D52" s="26"/>
      <c r="E52" s="139" t="s">
        <v>205</v>
      </c>
      <c r="F52" s="17" t="s">
        <v>44</v>
      </c>
      <c r="G52" s="18">
        <f>IF($I$48="Custom",L52,1.25)</f>
        <v>1.25</v>
      </c>
      <c r="H52" s="18">
        <f>IF($I$48="Custom",M52,1.5)</f>
        <v>1.5</v>
      </c>
      <c r="I52" s="18">
        <f>IF($I$48="Custom",N52,2)</f>
        <v>2</v>
      </c>
      <c r="J52" s="27">
        <f>IF($I$48="Custom",O52,0.75)</f>
        <v>0.75</v>
      </c>
      <c r="L52" s="143">
        <v>0</v>
      </c>
      <c r="M52" s="18">
        <v>0</v>
      </c>
      <c r="N52" s="18">
        <v>0</v>
      </c>
      <c r="O52" s="27">
        <v>0</v>
      </c>
    </row>
    <row r="53" spans="4:15" x14ac:dyDescent="0.25">
      <c r="D53" s="26"/>
      <c r="E53" s="139" t="s">
        <v>206</v>
      </c>
      <c r="F53" s="17" t="s">
        <v>44</v>
      </c>
      <c r="G53" s="18">
        <f>IF($I$48="Custom",L53,1.25)</f>
        <v>1.25</v>
      </c>
      <c r="H53" s="18">
        <f>IF($I$48="Custom",M53,1.5)</f>
        <v>1.5</v>
      </c>
      <c r="I53" s="18">
        <f>IF($I$48="Custom",N53,2)</f>
        <v>2</v>
      </c>
      <c r="J53" s="27">
        <f>IF($I$48="Custom",O53,0.75)</f>
        <v>0.75</v>
      </c>
      <c r="L53" s="143">
        <v>0</v>
      </c>
      <c r="M53" s="18">
        <v>0</v>
      </c>
      <c r="N53" s="18">
        <v>0</v>
      </c>
      <c r="O53" s="27">
        <v>0</v>
      </c>
    </row>
    <row r="54" spans="4:15" x14ac:dyDescent="0.25">
      <c r="D54" s="26"/>
      <c r="E54" s="139"/>
      <c r="F54" s="17"/>
      <c r="G54" s="18"/>
      <c r="H54" s="18"/>
      <c r="I54" s="18"/>
      <c r="J54" s="27"/>
      <c r="L54" s="143"/>
      <c r="M54" s="18"/>
      <c r="N54" s="18"/>
      <c r="O54" s="27"/>
    </row>
    <row r="55" spans="4:15" x14ac:dyDescent="0.25">
      <c r="D55" s="26"/>
      <c r="E55" s="139" t="s">
        <v>7</v>
      </c>
      <c r="F55" s="17" t="s">
        <v>45</v>
      </c>
      <c r="G55" s="19">
        <f>IF($I$48="Custom",L55,0.05)</f>
        <v>0.05</v>
      </c>
      <c r="H55" s="19">
        <f>IF($I$48="Custom",M55,0.1)</f>
        <v>0.1</v>
      </c>
      <c r="I55" s="19">
        <f>IF($I$48="Custom",N55,0.2)</f>
        <v>0.2</v>
      </c>
      <c r="J55" s="28">
        <f>IF($I$48="Custom",O55,-0.05)</f>
        <v>-0.05</v>
      </c>
      <c r="L55" s="144">
        <v>0</v>
      </c>
      <c r="M55" s="19">
        <v>0</v>
      </c>
      <c r="N55" s="19">
        <v>0</v>
      </c>
      <c r="O55" s="28">
        <v>0</v>
      </c>
    </row>
    <row r="56" spans="4:15" x14ac:dyDescent="0.25">
      <c r="D56" s="26"/>
      <c r="E56" s="139" t="s">
        <v>207</v>
      </c>
      <c r="F56" s="17" t="s">
        <v>44</v>
      </c>
      <c r="G56" s="18">
        <f>IF($I$48="Custom",L56,1.25)</f>
        <v>1.25</v>
      </c>
      <c r="H56" s="18">
        <f>IF($I$48="Custom",M56,1.5)</f>
        <v>1.5</v>
      </c>
      <c r="I56" s="18">
        <f>IF($I$48="Custom",N56,2)</f>
        <v>2</v>
      </c>
      <c r="J56" s="27">
        <f>IF($I$48="Custom",O56,0.75)</f>
        <v>0.75</v>
      </c>
      <c r="L56" s="143">
        <v>0</v>
      </c>
      <c r="M56" s="18">
        <v>0</v>
      </c>
      <c r="N56" s="18">
        <v>0</v>
      </c>
      <c r="O56" s="27">
        <v>0</v>
      </c>
    </row>
    <row r="57" spans="4:15" x14ac:dyDescent="0.25">
      <c r="D57" s="26"/>
      <c r="E57" s="139" t="s">
        <v>208</v>
      </c>
      <c r="F57" s="17" t="s">
        <v>44</v>
      </c>
      <c r="G57" s="18">
        <f>IF($I$48="Custom",L57,1.25)</f>
        <v>1.25</v>
      </c>
      <c r="H57" s="18">
        <f>IF($I$48="Custom",M57,1.5)</f>
        <v>1.5</v>
      </c>
      <c r="I57" s="18">
        <f>IF($I$48="Custom",N57,2)</f>
        <v>2</v>
      </c>
      <c r="J57" s="27">
        <f>IF($I$48="Custom",O57,0.75)</f>
        <v>0.75</v>
      </c>
      <c r="L57" s="143">
        <v>0</v>
      </c>
      <c r="M57" s="18">
        <v>0</v>
      </c>
      <c r="N57" s="18">
        <v>0</v>
      </c>
      <c r="O57" s="27">
        <v>0</v>
      </c>
    </row>
    <row r="58" spans="4:15" x14ac:dyDescent="0.25">
      <c r="D58" s="26"/>
      <c r="E58" s="139" t="s">
        <v>241</v>
      </c>
      <c r="F58" s="17" t="s">
        <v>45</v>
      </c>
      <c r="G58" s="19">
        <f>IF($I$48="Custom",L58,0.05)</f>
        <v>0.05</v>
      </c>
      <c r="H58" s="19">
        <f>IF($I$48="Custom",M58,0.1)</f>
        <v>0.1</v>
      </c>
      <c r="I58" s="19">
        <f>IF($I$48="Custom",N58,0.15)</f>
        <v>0.15</v>
      </c>
      <c r="J58" s="28">
        <f>IF($I$48="Custom",O58,-0.1)</f>
        <v>-0.1</v>
      </c>
      <c r="L58" s="144">
        <v>0</v>
      </c>
      <c r="M58" s="19">
        <v>0</v>
      </c>
      <c r="N58" s="19">
        <v>0</v>
      </c>
      <c r="O58" s="28">
        <v>0</v>
      </c>
    </row>
    <row r="59" spans="4:15" x14ac:dyDescent="0.25">
      <c r="D59" s="26"/>
      <c r="E59" s="139" t="s">
        <v>5</v>
      </c>
      <c r="F59" s="17" t="s">
        <v>44</v>
      </c>
      <c r="G59" s="18">
        <f t="shared" ref="G59:G62" si="3">IF($I$48="Custom",L59,1.25)</f>
        <v>1.25</v>
      </c>
      <c r="H59" s="18">
        <f t="shared" ref="H59:H62" si="4">IF($I$48="Custom",M59,1.5)</f>
        <v>1.5</v>
      </c>
      <c r="I59" s="18">
        <f t="shared" ref="I59:I62" si="5">IF($I$48="Custom",N59,2)</f>
        <v>2</v>
      </c>
      <c r="J59" s="27">
        <f t="shared" ref="J59:J62" si="6">IF($I$48="Custom",O59,0.75)</f>
        <v>0.75</v>
      </c>
      <c r="L59" s="143">
        <v>0</v>
      </c>
      <c r="M59" s="18">
        <v>0</v>
      </c>
      <c r="N59" s="18">
        <v>0</v>
      </c>
      <c r="O59" s="27">
        <v>0</v>
      </c>
    </row>
    <row r="60" spans="4:15" x14ac:dyDescent="0.25">
      <c r="D60" s="26"/>
      <c r="E60" s="139" t="s">
        <v>211</v>
      </c>
      <c r="F60" s="17" t="s">
        <v>44</v>
      </c>
      <c r="G60" s="18">
        <f t="shared" si="3"/>
        <v>1.25</v>
      </c>
      <c r="H60" s="18">
        <f t="shared" si="4"/>
        <v>1.5</v>
      </c>
      <c r="I60" s="18">
        <f t="shared" si="5"/>
        <v>2</v>
      </c>
      <c r="J60" s="27">
        <f t="shared" si="6"/>
        <v>0.75</v>
      </c>
      <c r="L60" s="143">
        <v>0</v>
      </c>
      <c r="M60" s="18">
        <v>0</v>
      </c>
      <c r="N60" s="18">
        <v>0</v>
      </c>
      <c r="O60" s="27">
        <v>0</v>
      </c>
    </row>
    <row r="61" spans="4:15" x14ac:dyDescent="0.25">
      <c r="D61" s="26"/>
      <c r="E61" s="139" t="s">
        <v>209</v>
      </c>
      <c r="F61" s="17" t="s">
        <v>44</v>
      </c>
      <c r="G61" s="18">
        <f t="shared" si="3"/>
        <v>1.25</v>
      </c>
      <c r="H61" s="18">
        <f t="shared" si="4"/>
        <v>1.5</v>
      </c>
      <c r="I61" s="18">
        <f t="shared" si="5"/>
        <v>2</v>
      </c>
      <c r="J61" s="27">
        <f t="shared" si="6"/>
        <v>0.75</v>
      </c>
      <c r="L61" s="143">
        <v>0</v>
      </c>
      <c r="M61" s="18">
        <v>0</v>
      </c>
      <c r="N61" s="18">
        <v>0</v>
      </c>
      <c r="O61" s="27">
        <v>0</v>
      </c>
    </row>
    <row r="62" spans="4:15" x14ac:dyDescent="0.25">
      <c r="D62" s="26"/>
      <c r="E62" s="139" t="s">
        <v>210</v>
      </c>
      <c r="F62" s="17" t="s">
        <v>44</v>
      </c>
      <c r="G62" s="18">
        <f t="shared" si="3"/>
        <v>1.25</v>
      </c>
      <c r="H62" s="18">
        <f t="shared" si="4"/>
        <v>1.5</v>
      </c>
      <c r="I62" s="18">
        <f t="shared" si="5"/>
        <v>2</v>
      </c>
      <c r="J62" s="27">
        <f t="shared" si="6"/>
        <v>0.75</v>
      </c>
      <c r="L62" s="143">
        <v>0</v>
      </c>
      <c r="M62" s="18">
        <v>0</v>
      </c>
      <c r="N62" s="18">
        <v>0</v>
      </c>
      <c r="O62" s="27">
        <v>0</v>
      </c>
    </row>
    <row r="63" spans="4:15" x14ac:dyDescent="0.25">
      <c r="D63" s="26"/>
      <c r="E63" s="139"/>
      <c r="F63" s="17"/>
      <c r="G63" s="18"/>
      <c r="H63" s="18"/>
      <c r="I63" s="18"/>
      <c r="J63" s="27"/>
      <c r="L63" s="143"/>
      <c r="M63" s="18"/>
      <c r="N63" s="18"/>
      <c r="O63" s="27"/>
    </row>
    <row r="64" spans="4:15" ht="45" x14ac:dyDescent="0.25">
      <c r="D64" s="26"/>
      <c r="E64" s="151" t="s">
        <v>85</v>
      </c>
      <c r="F64" s="59" t="s">
        <v>45</v>
      </c>
      <c r="G64" s="60">
        <f t="shared" ref="G64:G66" si="7">IF($I$48="Custom",L64,0.05)</f>
        <v>0.05</v>
      </c>
      <c r="H64" s="60">
        <f t="shared" ref="H64:H66" si="8">IF($I$48="Custom",M64,0.1)</f>
        <v>0.1</v>
      </c>
      <c r="I64" s="60">
        <f t="shared" ref="I64:I66" si="9">IF($I$48="Custom",N64,0.2)</f>
        <v>0.2</v>
      </c>
      <c r="J64" s="61">
        <f t="shared" ref="J64:J66" si="10">IF($I$48="Custom",O64,-0.05)</f>
        <v>-0.05</v>
      </c>
      <c r="L64" s="147">
        <v>0</v>
      </c>
      <c r="M64" s="60">
        <v>0</v>
      </c>
      <c r="N64" s="60">
        <v>0</v>
      </c>
      <c r="O64" s="61">
        <v>0</v>
      </c>
    </row>
    <row r="65" spans="4:15" ht="45" x14ac:dyDescent="0.25">
      <c r="D65" s="26"/>
      <c r="E65" s="151" t="s">
        <v>86</v>
      </c>
      <c r="F65" s="59" t="s">
        <v>45</v>
      </c>
      <c r="G65" s="60">
        <f t="shared" si="7"/>
        <v>0.05</v>
      </c>
      <c r="H65" s="60">
        <f t="shared" si="8"/>
        <v>0.1</v>
      </c>
      <c r="I65" s="60">
        <f t="shared" si="9"/>
        <v>0.2</v>
      </c>
      <c r="J65" s="61">
        <f t="shared" si="10"/>
        <v>-0.05</v>
      </c>
      <c r="L65" s="147">
        <v>0</v>
      </c>
      <c r="M65" s="60">
        <v>0</v>
      </c>
      <c r="N65" s="60">
        <v>0</v>
      </c>
      <c r="O65" s="61">
        <v>0</v>
      </c>
    </row>
    <row r="66" spans="4:15" ht="30" x14ac:dyDescent="0.25">
      <c r="D66" s="26"/>
      <c r="E66" s="151" t="s">
        <v>87</v>
      </c>
      <c r="F66" s="59" t="s">
        <v>45</v>
      </c>
      <c r="G66" s="60">
        <f t="shared" si="7"/>
        <v>0.05</v>
      </c>
      <c r="H66" s="60">
        <f t="shared" si="8"/>
        <v>0.1</v>
      </c>
      <c r="I66" s="60">
        <f t="shared" si="9"/>
        <v>0.2</v>
      </c>
      <c r="J66" s="61">
        <f t="shared" si="10"/>
        <v>-0.05</v>
      </c>
      <c r="L66" s="147">
        <v>0</v>
      </c>
      <c r="M66" s="60">
        <v>0</v>
      </c>
      <c r="N66" s="60">
        <v>0</v>
      </c>
      <c r="O66" s="61">
        <v>0</v>
      </c>
    </row>
    <row r="67" spans="4:15" ht="45" x14ac:dyDescent="0.25">
      <c r="D67" s="26"/>
      <c r="E67" s="151" t="s">
        <v>88</v>
      </c>
      <c r="F67" s="59" t="s">
        <v>44</v>
      </c>
      <c r="G67" s="62">
        <f>IF($I$48="Custom",L67,1.25)</f>
        <v>1.25</v>
      </c>
      <c r="H67" s="62">
        <f>IF($I$48="Custom",M67,1.5)</f>
        <v>1.5</v>
      </c>
      <c r="I67" s="62">
        <f>IF($I$48="Custom",N67,2)</f>
        <v>2</v>
      </c>
      <c r="J67" s="63">
        <f>IF($I$48="Custom",O67,0.75)</f>
        <v>0.75</v>
      </c>
      <c r="L67" s="148">
        <v>0</v>
      </c>
      <c r="M67" s="62">
        <v>0</v>
      </c>
      <c r="N67" s="62">
        <v>0</v>
      </c>
      <c r="O67" s="63">
        <v>0</v>
      </c>
    </row>
    <row r="68" spans="4:15" ht="45" x14ac:dyDescent="0.25">
      <c r="D68" s="26"/>
      <c r="E68" s="151" t="s">
        <v>89</v>
      </c>
      <c r="F68" s="59" t="s">
        <v>45</v>
      </c>
      <c r="G68" s="60">
        <f>IF($I$48="Custom",L68,0.1)</f>
        <v>0.1</v>
      </c>
      <c r="H68" s="60">
        <f>IF($I$48="Custom",M68,0.2)</f>
        <v>0.2</v>
      </c>
      <c r="I68" s="60">
        <f>IF($I$48="Custom",N68,0.3)</f>
        <v>0.3</v>
      </c>
      <c r="J68" s="61">
        <f>IF($I$48="Custom",O68,-0.2)</f>
        <v>-0.2</v>
      </c>
      <c r="L68" s="147">
        <v>0</v>
      </c>
      <c r="M68" s="60">
        <v>0</v>
      </c>
      <c r="N68" s="60">
        <v>0</v>
      </c>
      <c r="O68" s="61">
        <v>0</v>
      </c>
    </row>
    <row r="69" spans="4:15" ht="15.75" thickBot="1" x14ac:dyDescent="0.3">
      <c r="D69" s="29"/>
      <c r="E69" s="152" t="s">
        <v>212</v>
      </c>
      <c r="F69" s="30" t="s">
        <v>45</v>
      </c>
      <c r="G69" s="153">
        <f t="shared" ref="G69" si="11">IF($I$48="Custom",L69,0.05)</f>
        <v>0.05</v>
      </c>
      <c r="H69" s="153">
        <f t="shared" ref="H69" si="12">IF($I$48="Custom",M69,0.1)</f>
        <v>0.1</v>
      </c>
      <c r="I69" s="153">
        <f t="shared" ref="I69" si="13">IF($I$48="Custom",N69,0.2)</f>
        <v>0.2</v>
      </c>
      <c r="J69" s="154">
        <f t="shared" ref="J69" si="14">IF($I$48="Custom",O69,-0.05)</f>
        <v>-0.05</v>
      </c>
      <c r="L69" s="145">
        <v>0</v>
      </c>
      <c r="M69" s="31">
        <v>0</v>
      </c>
      <c r="N69" s="31">
        <v>0</v>
      </c>
      <c r="O69" s="32">
        <v>0</v>
      </c>
    </row>
  </sheetData>
  <mergeCells count="18">
    <mergeCell ref="L28:O28"/>
    <mergeCell ref="G28:H28"/>
    <mergeCell ref="D46:J46"/>
    <mergeCell ref="L48:O48"/>
    <mergeCell ref="G48:H48"/>
    <mergeCell ref="D47:J47"/>
    <mergeCell ref="B11:F11"/>
    <mergeCell ref="B3:J3"/>
    <mergeCell ref="B7:J7"/>
    <mergeCell ref="B8:J8"/>
    <mergeCell ref="B9:J9"/>
    <mergeCell ref="B10:J10"/>
    <mergeCell ref="D23:E23"/>
    <mergeCell ref="D27:J27"/>
    <mergeCell ref="B15:J15"/>
    <mergeCell ref="B19:J19"/>
    <mergeCell ref="C16:D16"/>
    <mergeCell ref="D26:J26"/>
  </mergeCells>
  <dataValidations count="2">
    <dataValidation type="list" allowBlank="1" showInputMessage="1" showErrorMessage="1" sqref="E16">
      <formula1>GeoLookup</formula1>
    </dataValidation>
    <dataValidation type="list" allowBlank="1" showInputMessage="1" showErrorMessage="1" sqref="I28 I48">
      <formula1>"Default,Custom"</formula1>
    </dataValidation>
  </dataValidations>
  <pageMargins left="0.7" right="0.7" top="0.75" bottom="0.75" header="0.3" footer="0.3"/>
  <pageSetup scale="73" fitToHeight="2" orientation="portrait" r:id="rId1"/>
  <ignoredErrors>
    <ignoredError sqref="J32:J33 G33:I33 G38:H38 G58:J5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5"/>
  <sheetViews>
    <sheetView tabSelected="1" topLeftCell="A3" workbookViewId="0">
      <selection activeCell="C7" sqref="C7"/>
    </sheetView>
  </sheetViews>
  <sheetFormatPr defaultRowHeight="15" x14ac:dyDescent="0.25"/>
  <cols>
    <col min="1" max="1" width="20.42578125" bestFit="1" customWidth="1"/>
    <col min="2" max="2" width="18.28515625" customWidth="1"/>
    <col min="3" max="6" width="20.42578125" customWidth="1"/>
    <col min="7" max="7" width="7.140625" bestFit="1" customWidth="1"/>
    <col min="8" max="8" width="12.5703125" bestFit="1" customWidth="1"/>
    <col min="9" max="9" width="6.7109375" bestFit="1" customWidth="1"/>
    <col min="10" max="10" width="16.28515625" bestFit="1" customWidth="1"/>
  </cols>
  <sheetData>
    <row r="1" spans="1:6" hidden="1" x14ac:dyDescent="0.25">
      <c r="A1" s="1"/>
      <c r="B1" s="1"/>
      <c r="C1" s="1"/>
      <c r="D1" s="1"/>
      <c r="E1" s="1"/>
      <c r="F1" s="1"/>
    </row>
    <row r="2" spans="1:6" hidden="1" x14ac:dyDescent="0.25">
      <c r="A2" s="1"/>
      <c r="B2" s="1"/>
      <c r="C2" s="1"/>
      <c r="D2" s="1"/>
      <c r="E2" s="1"/>
      <c r="F2" s="1"/>
    </row>
    <row r="3" spans="1:6" x14ac:dyDescent="0.25">
      <c r="A3" s="1" t="s">
        <v>36</v>
      </c>
      <c r="B3" s="1" t="s">
        <v>26</v>
      </c>
      <c r="C3" s="1"/>
      <c r="D3" s="1"/>
      <c r="E3" s="1"/>
      <c r="F3" s="1"/>
    </row>
    <row r="4" spans="1:6" ht="76.5" customHeight="1" thickBot="1" x14ac:dyDescent="0.3">
      <c r="A4" s="214" t="s">
        <v>226</v>
      </c>
      <c r="B4" s="214"/>
      <c r="C4" s="214"/>
      <c r="D4" s="214"/>
      <c r="E4" s="214"/>
      <c r="F4" s="2"/>
    </row>
    <row r="5" spans="1:6" ht="15.75" thickBot="1" x14ac:dyDescent="0.3">
      <c r="A5" s="1"/>
      <c r="B5" s="2"/>
      <c r="C5" s="2"/>
      <c r="D5" s="2"/>
      <c r="E5" s="6" t="s">
        <v>31</v>
      </c>
      <c r="F5" s="2"/>
    </row>
    <row r="6" spans="1:6" x14ac:dyDescent="0.25">
      <c r="A6" s="11"/>
      <c r="B6" s="12" t="s">
        <v>27</v>
      </c>
      <c r="C6" s="13" t="s">
        <v>28</v>
      </c>
      <c r="D6" s="1"/>
      <c r="E6" s="7" t="s">
        <v>32</v>
      </c>
      <c r="F6" s="1"/>
    </row>
    <row r="7" spans="1:6" ht="15.75" thickBot="1" x14ac:dyDescent="0.3">
      <c r="A7" s="131" t="s">
        <v>29</v>
      </c>
      <c r="B7" s="132" t="str">
        <f>C11</f>
        <v>For Tract 30111000300</v>
      </c>
      <c r="C7" s="133" t="s">
        <v>24</v>
      </c>
      <c r="D7" s="1"/>
      <c r="E7" s="8" t="s">
        <v>33</v>
      </c>
      <c r="F7" s="1"/>
    </row>
    <row r="8" spans="1:6" x14ac:dyDescent="0.25">
      <c r="A8" s="1"/>
      <c r="B8" s="1"/>
      <c r="C8" s="1"/>
      <c r="D8" s="1"/>
      <c r="E8" s="10" t="s">
        <v>35</v>
      </c>
      <c r="F8" s="5"/>
    </row>
    <row r="9" spans="1:6" ht="15.75" thickBot="1" x14ac:dyDescent="0.3">
      <c r="A9" s="1"/>
      <c r="B9" s="1"/>
      <c r="C9" s="1"/>
      <c r="D9" s="1"/>
      <c r="E9" s="9" t="s">
        <v>34</v>
      </c>
      <c r="F9" s="1"/>
    </row>
    <row r="10" spans="1:6" ht="15.75" thickBot="1" x14ac:dyDescent="0.3"/>
    <row r="11" spans="1:6" x14ac:dyDescent="0.25">
      <c r="A11" s="34"/>
      <c r="B11" s="127" t="s">
        <v>30</v>
      </c>
      <c r="C11" s="129" t="str">
        <f>Control_Panel!E16</f>
        <v>For Tract 30111000300</v>
      </c>
      <c r="D11" s="130"/>
      <c r="E11" s="129"/>
      <c r="F11" s="128" t="s">
        <v>24</v>
      </c>
    </row>
    <row r="12" spans="1:6" x14ac:dyDescent="0.25">
      <c r="A12" s="64" t="s">
        <v>214</v>
      </c>
      <c r="B12" s="65"/>
      <c r="C12" s="65"/>
      <c r="D12" s="66"/>
      <c r="E12" s="65"/>
      <c r="F12" s="67"/>
    </row>
    <row r="13" spans="1:6" x14ac:dyDescent="0.25">
      <c r="A13" s="38" t="s">
        <v>5</v>
      </c>
      <c r="B13" s="33" t="str">
        <f>IF(HLOOKUP($C$7,$C$11:$F$24,3,FALSE)=0,"n/a",IF(C13/HLOOKUP($C$7,$C$11:$F$24,3,FALSE)&gt;Control_Panel!I30,"Much Higher",IF(C13/HLOOKUP($C$7,$C$11:$F$24,3,FALSE)&gt;Control_Panel!H30,"Higher",IF(C13/HLOOKUP($C$7,$C$11:$F$24,3,FALSE)&gt;Control_Panel!G30,"Slightly Higher",IF(C13/HLOOKUP($C$7,$C$11:$F$24,3,FALSE)&lt;Control_Panel!J30,"Lower"," ")))))</f>
        <v>Slightly Higher</v>
      </c>
      <c r="C13" s="74">
        <f>HLOOKUP(C$11,Data!$B$26:$P$36,7,FALSE)</f>
        <v>1.9280205655526992E-2</v>
      </c>
      <c r="D13" s="74" t="e">
        <f>HLOOKUP(D$11,Data!$B$26:$P$36,7,FALSE)</f>
        <v>#DIV/0!</v>
      </c>
      <c r="E13" s="74" t="e">
        <f>HLOOKUP(E$11,Data!$B$26:$P$36,7,FALSE)</f>
        <v>#DIV/0!</v>
      </c>
      <c r="F13" s="75">
        <f>HLOOKUP(F$11,Data!$B$26:$P$36,7,FALSE)</f>
        <v>1.3217454390515845E-2</v>
      </c>
    </row>
    <row r="14" spans="1:6" x14ac:dyDescent="0.25">
      <c r="A14" s="38" t="s">
        <v>6</v>
      </c>
      <c r="B14" s="33" t="str">
        <f>IF(HLOOKUP($C$7,$C$11:$F$24,4,FALSE)=0,"n/a",IF(C14/HLOOKUP($C$7,$C$11:$F$24,4,FALSE)&gt;Control_Panel!I31,"Much Higher",IF(C14/HLOOKUP($C$7,$C$11:$F$24,4,FALSE)&gt;Control_Panel!H31,"Higher",IF(C14/HLOOKUP($C$7,$C$11:$F$24,4,FALSE)&gt;Control_Panel!G31,"Slightly Higher",IF(C14/HLOOKUP($C$7,$C$11:$F$24,4,FALSE)&lt;Control_Panel!J31,"Lower"," ")))))</f>
        <v xml:space="preserve"> </v>
      </c>
      <c r="C14" s="74">
        <f>HLOOKUP(C$11,Data!$B$26:$P$36,8,FALSE)</f>
        <v>4.2416452442159386E-2</v>
      </c>
      <c r="D14" s="74" t="e">
        <f>HLOOKUP(D$11,Data!$B$26:$P$36,8,FALSE)</f>
        <v>#DIV/0!</v>
      </c>
      <c r="E14" s="74" t="e">
        <f>HLOOKUP(E$11,Data!$B$26:$P$36,8,FALSE)</f>
        <v>#DIV/0!</v>
      </c>
      <c r="F14" s="75">
        <f>HLOOKUP(F$11,Data!$B$26:$P$36,8,FALSE)</f>
        <v>3.2275190627958243E-2</v>
      </c>
    </row>
    <row r="15" spans="1:6" x14ac:dyDescent="0.25">
      <c r="A15" s="38" t="s">
        <v>7</v>
      </c>
      <c r="B15" s="33" t="str">
        <f>IF(C15-HLOOKUP($C$7,$C$11:$F$24,5,FALSE)&gt;Control_Panel!I32,"Much Higher",IF(C15-HLOOKUP($C$7,$C$11:$F$24,5,FALSE)&gt;Control_Panel!H32,"Higher",IF(C15-HLOOKUP($C$7,$C$11:$F$24,5,FALSE)&gt;Control_Panel!G32,"Slightly Higher",IF(C15-HLOOKUP($C$7,$C$11:$F$24,5,FALSE)&lt;Control_Panel!J32,"Lower"," "))))</f>
        <v>Slightly Higher</v>
      </c>
      <c r="C15" s="74">
        <f>HLOOKUP(C$11,Data!$B$26:$P$36,9,FALSE)</f>
        <v>0.43060000000000004</v>
      </c>
      <c r="D15" s="74">
        <f>HLOOKUP(D$11,Data!$B$26:$P$36,9,FALSE)</f>
        <v>0</v>
      </c>
      <c r="E15" s="74">
        <f>HLOOKUP(E$11,Data!$B$26:$P$36,9,FALSE)</f>
        <v>0</v>
      </c>
      <c r="F15" s="75">
        <f>HLOOKUP(F$11,Data!$B$26:$P$36,9,FALSE)</f>
        <v>0.35979999999999995</v>
      </c>
    </row>
    <row r="16" spans="1:6" x14ac:dyDescent="0.25">
      <c r="A16" s="38"/>
      <c r="B16" s="33"/>
      <c r="C16" s="74"/>
      <c r="D16" s="74"/>
      <c r="E16" s="74"/>
      <c r="F16" s="75"/>
    </row>
    <row r="17" spans="1:6" x14ac:dyDescent="0.25">
      <c r="A17" s="70" t="s">
        <v>215</v>
      </c>
      <c r="B17" s="71"/>
      <c r="C17" s="76"/>
      <c r="D17" s="74"/>
      <c r="E17" s="74"/>
      <c r="F17" s="75"/>
    </row>
    <row r="18" spans="1:6" x14ac:dyDescent="0.25">
      <c r="A18" s="39" t="s">
        <v>0</v>
      </c>
      <c r="B18" s="33" t="str">
        <f>IF(HLOOKUP($C$7,$C$11:$F$24,8,FALSE)=0,"n/a",IF(C18/HLOOKUP($C$7,$C$11:$F$24,8,FALSE)&gt;Control_Panel!I33,"Much Higher",IF(C18/HLOOKUP($C$7,$C$11:$F$24,8,FALSE)&gt;Control_Panel!H33,"Higher",IF(C18/HLOOKUP($C$7,$C$11:$F$24,8,FALSE)&gt;Control_Panel!G33,"Slightly Higher",IF(C18/HLOOKUP($C$7,$C$11:$F$24,8,FALSE)&lt;Control_Panel!J33,"Lower"," ")))))</f>
        <v>Higher</v>
      </c>
      <c r="C18" s="74">
        <f>HLOOKUP(C$11,Data!$B$26:$P$36,2,FALSE)</f>
        <v>0.28309999999999996</v>
      </c>
      <c r="D18" s="74">
        <f>HLOOKUP(D$11,Data!$B$26:$P$36,2,FALSE)</f>
        <v>0</v>
      </c>
      <c r="E18" s="74">
        <f>HLOOKUP(E$11,Data!$B$26:$P$36,2,FALSE)</f>
        <v>0</v>
      </c>
      <c r="F18" s="75">
        <f>HLOOKUP(F$11,Data!$B$26:$P$36,2,FALSE)</f>
        <v>0.14510000000000001</v>
      </c>
    </row>
    <row r="19" spans="1:6" x14ac:dyDescent="0.25">
      <c r="A19" s="39" t="s">
        <v>1</v>
      </c>
      <c r="B19" s="33" t="str">
        <f>IF(C19-HLOOKUP($C$7,$C$11:$F$24,9,FALSE)&gt;Control_Panel!I34,"Much Higher",IF(C19-HLOOKUP($C$7,$C$11:$F$24,9,FALSE)&gt;Control_Panel!H34,"Higher",IF(C19-HLOOKUP($C$7,$C$11:$F$24,9,FALSE)&gt;Control_Panel!G34,"Slightly Higher",IF(C19-HLOOKUP($C$7,$C$11:$F$24,9,FALSE)&lt;Control_Panel!J34,"Lower"," "))))</f>
        <v>Much Higher</v>
      </c>
      <c r="C19" s="74">
        <f>HLOOKUP(C$11,Data!$B$26:$P$36,3,FALSE)</f>
        <v>0.74550128534704374</v>
      </c>
      <c r="D19" s="74" t="e">
        <f>HLOOKUP(D$11,Data!$B$26:$P$36,3,FALSE)</f>
        <v>#DIV/0!</v>
      </c>
      <c r="E19" s="74" t="e">
        <f>HLOOKUP(E$11,Data!$B$26:$P$36,3,FALSE)</f>
        <v>#DIV/0!</v>
      </c>
      <c r="F19" s="75">
        <f>HLOOKUP(F$11,Data!$B$26:$P$36,3,FALSE)</f>
        <v>0.41715876137914509</v>
      </c>
    </row>
    <row r="20" spans="1:6" x14ac:dyDescent="0.25">
      <c r="A20" s="39" t="s">
        <v>2</v>
      </c>
      <c r="B20" s="33" t="str">
        <f>IF(C20-HLOOKUP($C$7,$C$11:$F$24,10,FALSE)&gt;Control_Panel!I35,"Much Higher",IF(C20-HLOOKUP($C$7,$C$11:$F$24,10,FALSE)&gt;Control_Panel!H35,"Higher",IF(C20-HLOOKUP($C$7,$C$11:$F$24,10,FALSE)&gt;Control_Panel!G35,"Slightly Higher",IF(C20-HLOOKUP($C$7,$C$11:$F$24,10,FALSE)&lt;Control_Panel!J35,"Lower"," "))))</f>
        <v xml:space="preserve"> </v>
      </c>
      <c r="C20" s="74">
        <f>HLOOKUP(C$11,Data!$B$26:$P$36,4,FALSE)</f>
        <v>8.7799999999999989E-2</v>
      </c>
      <c r="D20" s="74">
        <f>HLOOKUP(D$11,Data!$B$26:$P$36,4,FALSE)</f>
        <v>0</v>
      </c>
      <c r="E20" s="74">
        <f>HLOOKUP(E$11,Data!$B$26:$P$36,4,FALSE)</f>
        <v>0</v>
      </c>
      <c r="F20" s="75">
        <f>HLOOKUP(F$11,Data!$B$26:$P$36,4,FALSE)</f>
        <v>0.13159999999999999</v>
      </c>
    </row>
    <row r="21" spans="1:6" x14ac:dyDescent="0.25">
      <c r="A21" s="39" t="s">
        <v>3</v>
      </c>
      <c r="B21" s="33" t="str">
        <f>IF(C21-HLOOKUP($C$7,$C$11:$F$24,11,FALSE)&gt;Control_Panel!I36,"Much Higher",IF(C21-HLOOKUP($C$7,$C$11:$F$24,11,FALSE)&gt;Control_Panel!H36,"Higher",IF(C21-HLOOKUP($C$7,$C$11:$F$24,11,FALSE)&gt;Control_Panel!G36,"Slightly Higher",IF(C21-HLOOKUP($C$7,$C$11:$F$24,11,FALSE)&lt;Control_Panel!J36,"Lower"," "))))</f>
        <v xml:space="preserve"> </v>
      </c>
      <c r="C21" s="74">
        <f>HLOOKUP(C$11,Data!$B$26:$P$36,5,FALSE)</f>
        <v>0.223</v>
      </c>
      <c r="D21" s="74">
        <f>HLOOKUP(D$11,Data!$B$26:$P$36,5,FALSE)</f>
        <v>0</v>
      </c>
      <c r="E21" s="74">
        <f>HLOOKUP(E$11,Data!$B$26:$P$36,5,FALSE)</f>
        <v>0</v>
      </c>
      <c r="F21" s="75">
        <f>HLOOKUP(F$11,Data!$B$26:$P$36,5,FALSE)</f>
        <v>0.23929999999999998</v>
      </c>
    </row>
    <row r="22" spans="1:6" x14ac:dyDescent="0.25">
      <c r="A22" s="38" t="s">
        <v>4</v>
      </c>
      <c r="B22" s="33" t="str">
        <f>IF(C22-HLOOKUP($C$7,$C$11:$F$24,12,FALSE)&gt;Control_Panel!I37,"Much Higher",IF(C22-HLOOKUP($C$7,$C$11:$F$24,12,FALSE)&gt;Control_Panel!H37,"Higher",IF(C22-HLOOKUP($C$7,$C$11:$F$24,12,FALSE)&gt;Control_Panel!G37,"Slightly Higher",IF(C22-HLOOKUP($C$7,$C$11:$F$24,12,FALSE)&lt;Control_Panel!J37,"Lower"," "))))</f>
        <v>Much Higher</v>
      </c>
      <c r="C22" s="74">
        <f>HLOOKUP(C$11,Data!$B$26:$P$36,6,FALSE)</f>
        <v>0.6401</v>
      </c>
      <c r="D22" s="74">
        <f>HLOOKUP(D$11,Data!$B$26:$P$36,6,FALSE)</f>
        <v>1</v>
      </c>
      <c r="E22" s="74">
        <f>HLOOKUP(E$11,Data!$B$26:$P$36,6,FALSE)</f>
        <v>1</v>
      </c>
      <c r="F22" s="75">
        <f>HLOOKUP(F$11,Data!$B$26:$P$36,6,FALSE)</f>
        <v>0.34489999999999998</v>
      </c>
    </row>
    <row r="23" spans="1:6" x14ac:dyDescent="0.25">
      <c r="A23" s="38" t="s">
        <v>25</v>
      </c>
      <c r="B23" s="33" t="str">
        <f>IF(C23-HLOOKUP($C$7,$C$11:$F$24,13,FALSE)&gt;Control_Panel!I38,"Much Higher",IF(C23-HLOOKUP($C$7,$C$11:$F$24,13,FALSE)&gt;Control_Panel!H38,"Higher",IF(C23-HLOOKUP($C$7,$C$11:$F$24,13,FALSE)&gt;Control_Panel!G38,"Slightly Higher",IF(C23-HLOOKUP($C$7,$C$11:$F$24,13,FALSE)&lt;Control_Panel!J38,"Lower"," "))))</f>
        <v>Lower</v>
      </c>
      <c r="C23" s="74">
        <f>HLOOKUP(C$11,Data!$B$26:$P$36,10,FALSE)</f>
        <v>0.55788313120176403</v>
      </c>
      <c r="D23" s="74">
        <f>HLOOKUP(D$11,Data!$B$26:$P$36,10,FALSE)</f>
        <v>0</v>
      </c>
      <c r="E23" s="74">
        <f>HLOOKUP(E$11,Data!$B$26:$P$36,10,FALSE)</f>
        <v>0</v>
      </c>
      <c r="F23" s="75">
        <f>HLOOKUP(F$11,Data!$B$26:$P$36,10,FALSE)</f>
        <v>1</v>
      </c>
    </row>
    <row r="24" spans="1:6" x14ac:dyDescent="0.25">
      <c r="A24" s="38" t="s">
        <v>37</v>
      </c>
      <c r="B24" s="33" t="str">
        <f>IF(C24-HLOOKUP($C$7,$C$11:$F$24,14,FALSE)&gt;Control_Panel!I39,"Much Higher",IF(C24-HLOOKUP($C$7,$C$11:$F$24,14,FALSE)&gt;Control_Panel!H39,"Higher",IF(C24-HLOOKUP($C$7,$C$11:$F$24,14,FALSE)&gt;Control_Panel!G39,"Slightly Higher",IF(C24-HLOOKUP($C$7,$C$11:$F$24,14,FALSE)&lt;Control_Panel!J39,"Lower"," "))))</f>
        <v>Lower</v>
      </c>
      <c r="C24" s="74">
        <f>HLOOKUP(C$11,Data!$B$26:$P$36,11,FALSE)</f>
        <v>0.64392905866302863</v>
      </c>
      <c r="D24" s="74">
        <f>HLOOKUP(D$11,Data!$B$26:$P$36,11,FALSE)</f>
        <v>0</v>
      </c>
      <c r="E24" s="74">
        <f>HLOOKUP(E$11,Data!$B$26:$P$36,11,FALSE)</f>
        <v>0</v>
      </c>
      <c r="F24" s="75">
        <f>HLOOKUP(F$11,Data!$B$26:$P$36,11,FALSE)</f>
        <v>1</v>
      </c>
    </row>
    <row r="25" spans="1:6" ht="15.75" thickBot="1" x14ac:dyDescent="0.3">
      <c r="A25" s="68" t="s">
        <v>61</v>
      </c>
      <c r="B25" s="69" t="s">
        <v>119</v>
      </c>
      <c r="C25" s="77">
        <f>HLOOKUP(C$11,Data!$B$120:$P$153,3,FALSE)</f>
        <v>25180</v>
      </c>
      <c r="D25" s="77">
        <f>HLOOKUP(D$11,Data!$B$120:$P$153,3,FALSE)</f>
        <v>0</v>
      </c>
      <c r="E25" s="77">
        <f>HLOOKUP(E$11,Data!$B$120:$P$153,3,FALSE)</f>
        <v>0</v>
      </c>
      <c r="F25" s="78">
        <f>HLOOKUP(F$11,Data!$B$120:$P$153,3,FALSE)</f>
        <v>53046</v>
      </c>
    </row>
  </sheetData>
  <mergeCells count="1">
    <mergeCell ref="A4:E4"/>
  </mergeCells>
  <conditionalFormatting sqref="F13:F25">
    <cfRule type="expression" dxfId="14" priority="48">
      <formula>$F$11=$C$7</formula>
    </cfRule>
  </conditionalFormatting>
  <conditionalFormatting sqref="F11:F12">
    <cfRule type="expression" dxfId="13" priority="47">
      <formula>$F$11=$C$7</formula>
    </cfRule>
  </conditionalFormatting>
  <conditionalFormatting sqref="E11:E25">
    <cfRule type="expression" dxfId="12" priority="46">
      <formula>$E$11=$C$7</formula>
    </cfRule>
  </conditionalFormatting>
  <conditionalFormatting sqref="D11:D25">
    <cfRule type="expression" dxfId="11" priority="45">
      <formula>$D$11=$C$7</formula>
    </cfRule>
  </conditionalFormatting>
  <conditionalFormatting sqref="C13:C25">
    <cfRule type="expression" dxfId="10" priority="1">
      <formula>LEFT(B13)="L"</formula>
    </cfRule>
    <cfRule type="expression" dxfId="9" priority="2">
      <formula>LEFT(B13)="M"</formula>
    </cfRule>
    <cfRule type="expression" dxfId="8" priority="3">
      <formula>LEFT(B13)="S"</formula>
    </cfRule>
    <cfRule type="expression" dxfId="7" priority="4">
      <formula>LEFT(B13)="H"</formula>
    </cfRule>
  </conditionalFormatting>
  <dataValidations count="2">
    <dataValidation type="list" showInputMessage="1" showErrorMessage="1" sqref="C7">
      <formula1>S1comp</formula1>
    </dataValidation>
    <dataValidation type="list" allowBlank="1" showInputMessage="1" showErrorMessage="1" sqref="D11:E12">
      <formula1>Geographies</formula1>
    </dataValidation>
  </dataValidations>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100"/>
  <sheetViews>
    <sheetView workbookViewId="0">
      <pane ySplit="11" topLeftCell="A12" activePane="bottomLeft" state="frozen"/>
      <selection pane="bottomLeft" activeCell="A3" sqref="A3"/>
    </sheetView>
  </sheetViews>
  <sheetFormatPr defaultRowHeight="15" x14ac:dyDescent="0.25"/>
  <cols>
    <col min="1" max="1" width="3.42578125" customWidth="1"/>
    <col min="2" max="2" width="32.42578125" customWidth="1"/>
    <col min="3" max="7" width="20.7109375" customWidth="1"/>
    <col min="8" max="8" width="22.28515625" customWidth="1"/>
    <col min="9" max="9" width="16" style="49" bestFit="1" customWidth="1"/>
  </cols>
  <sheetData>
    <row r="1" spans="1:9" hidden="1" x14ac:dyDescent="0.25">
      <c r="B1" s="1"/>
      <c r="C1" s="1"/>
      <c r="D1" s="1"/>
      <c r="E1" s="1"/>
      <c r="F1" s="1"/>
      <c r="G1" s="1"/>
      <c r="H1" s="1"/>
      <c r="I1" s="1"/>
    </row>
    <row r="2" spans="1:9" hidden="1" x14ac:dyDescent="0.25">
      <c r="B2" s="156"/>
      <c r="C2" s="1"/>
      <c r="D2" s="1"/>
      <c r="E2" s="1"/>
      <c r="F2" s="1"/>
      <c r="G2" s="1"/>
    </row>
    <row r="3" spans="1:9" x14ac:dyDescent="0.25">
      <c r="B3" s="1" t="s">
        <v>58</v>
      </c>
      <c r="C3" s="1" t="s">
        <v>213</v>
      </c>
      <c r="D3" s="1"/>
      <c r="E3" s="1"/>
      <c r="F3" s="1"/>
      <c r="G3" s="1"/>
    </row>
    <row r="4" spans="1:9" ht="33" customHeight="1" thickBot="1" x14ac:dyDescent="0.3">
      <c r="B4" s="214" t="s">
        <v>227</v>
      </c>
      <c r="C4" s="214"/>
      <c r="D4" s="214"/>
      <c r="E4" s="214"/>
      <c r="F4" s="214"/>
      <c r="G4" s="2"/>
    </row>
    <row r="5" spans="1:9" ht="15.75" thickBot="1" x14ac:dyDescent="0.3">
      <c r="B5" s="1"/>
      <c r="C5" s="2"/>
      <c r="D5" s="2"/>
      <c r="E5" s="2"/>
      <c r="F5" s="6" t="s">
        <v>31</v>
      </c>
      <c r="G5" s="2"/>
    </row>
    <row r="6" spans="1:9" x14ac:dyDescent="0.25">
      <c r="B6" s="11"/>
      <c r="C6" s="12" t="s">
        <v>27</v>
      </c>
      <c r="D6" s="13" t="s">
        <v>28</v>
      </c>
      <c r="E6" s="1"/>
      <c r="F6" s="7" t="s">
        <v>32</v>
      </c>
      <c r="G6" s="1"/>
    </row>
    <row r="7" spans="1:9" ht="15.75" thickBot="1" x14ac:dyDescent="0.3">
      <c r="B7" s="134" t="s">
        <v>29</v>
      </c>
      <c r="C7" s="132" t="str">
        <f>D11</f>
        <v>For Tract 30111000300</v>
      </c>
      <c r="D7" s="133" t="s">
        <v>24</v>
      </c>
      <c r="E7" s="1"/>
      <c r="F7" s="8" t="s">
        <v>33</v>
      </c>
      <c r="G7" s="1"/>
    </row>
    <row r="8" spans="1:9" x14ac:dyDescent="0.25">
      <c r="B8" s="1"/>
      <c r="C8" s="1"/>
      <c r="D8" s="1"/>
      <c r="E8" s="1"/>
      <c r="F8" s="10" t="s">
        <v>35</v>
      </c>
      <c r="G8" s="5"/>
    </row>
    <row r="9" spans="1:9" ht="15.75" thickBot="1" x14ac:dyDescent="0.3">
      <c r="B9" s="1"/>
      <c r="C9" s="1"/>
      <c r="D9" s="1"/>
      <c r="E9" s="1"/>
      <c r="F9" s="9" t="s">
        <v>34</v>
      </c>
      <c r="G9" s="1"/>
    </row>
    <row r="10" spans="1:9" ht="15.75" thickBot="1" x14ac:dyDescent="0.3">
      <c r="C10" s="1"/>
      <c r="H10" s="45" t="s">
        <v>77</v>
      </c>
    </row>
    <row r="11" spans="1:9" ht="15.75" thickBot="1" x14ac:dyDescent="0.3">
      <c r="A11" s="217" t="s">
        <v>247</v>
      </c>
      <c r="B11" s="218"/>
      <c r="C11" s="177" t="s">
        <v>30</v>
      </c>
      <c r="D11" s="178" t="str">
        <f>Control_Panel!E16</f>
        <v>For Tract 30111000300</v>
      </c>
      <c r="E11" s="179"/>
      <c r="F11" s="178"/>
      <c r="G11" s="180" t="s">
        <v>24</v>
      </c>
      <c r="H11" s="135" t="str">
        <f>D11</f>
        <v>For Tract 30111000300</v>
      </c>
      <c r="I11" s="45" t="s">
        <v>216</v>
      </c>
    </row>
    <row r="12" spans="1:9" ht="15.75" thickBot="1" x14ac:dyDescent="0.3">
      <c r="A12" s="155" t="s">
        <v>101</v>
      </c>
      <c r="B12" s="101" t="s">
        <v>49</v>
      </c>
      <c r="C12" s="35"/>
      <c r="D12" s="35"/>
      <c r="E12" s="36"/>
      <c r="F12" s="35"/>
      <c r="G12" s="37"/>
      <c r="H12" s="57"/>
    </row>
    <row r="13" spans="1:9" x14ac:dyDescent="0.25">
      <c r="A13" s="155" t="s">
        <v>101</v>
      </c>
      <c r="B13" s="102" t="s">
        <v>6</v>
      </c>
      <c r="C13" s="99" t="str">
        <f>IF(HLOOKUP($D$7,$D$11:$G$71,3,FALSE)=0,"n/a",IF(D13/HLOOKUP($D$7,$D$11:$G$37,3,FALSE)&gt;Control_Panel!I50,"Much Higher",IF(D13/HLOOKUP($D$7,$D$11:$G$37,3,FALSE)&gt;Control_Panel!H50,"Higher",IF(D13/HLOOKUP($D$7,$D$11:$G$37,3,FALSE)&gt;Control_Panel!G50,"Slightly Higher",IF(D13/HLOOKUP($D$7,$D$11:$G$37,3,FALSE)&lt;Control_Panel!J50,"Lower"," ")))))</f>
        <v xml:space="preserve"> </v>
      </c>
      <c r="D13" s="100">
        <f>HLOOKUP(D$11,Data!$B$59:$P$85,3,FALSE)/HLOOKUP(D$11,Data!$B$59:$P$85,2,FALSE)</f>
        <v>4.2416452442159386E-2</v>
      </c>
      <c r="E13" s="100" t="e">
        <f>HLOOKUP(E$11,Data!$B$59:$P$85,3,FALSE)/HLOOKUP(E$11,Data!$B$59:$P$85,2,FALSE)</f>
        <v>#DIV/0!</v>
      </c>
      <c r="F13" s="100" t="e">
        <f>HLOOKUP(F$11,Data!$B$59:$P$85,3,FALSE)/HLOOKUP(F$11,Data!$B$59:$P$85,2,FALSE)</f>
        <v>#DIV/0!</v>
      </c>
      <c r="G13" s="103">
        <f>HLOOKUP(G$11,Data!$B$59:$P$85,3,FALSE)/HLOOKUP(G$11,Data!$B$59:$P$85,2,FALSE)</f>
        <v>3.2275190627958243E-2</v>
      </c>
      <c r="H13" s="96">
        <f>HLOOKUP(D$11,Data!$B$59:$P$85,3,FALSE)</f>
        <v>66</v>
      </c>
      <c r="I13" s="72" t="s">
        <v>236</v>
      </c>
    </row>
    <row r="14" spans="1:9" x14ac:dyDescent="0.25">
      <c r="A14" s="155" t="s">
        <v>101</v>
      </c>
      <c r="B14" s="102" t="s">
        <v>95</v>
      </c>
      <c r="C14" s="99" t="str">
        <f>IF(HLOOKUP($D$7,$D$11:$G$71,4,FALSE)=0,"n/a",IF(D14/HLOOKUP($D$7,$D$11:$G$37,4,FALSE)&gt;Control_Panel!$I$51,"Much Higher",IF(D14/HLOOKUP($D$7,$D$11:$G$37,4,FALSE)&gt;Control_Panel!$H$51,"Higher",IF(D14/HLOOKUP($D$7,$D$11:$G$37,4,FALSE)&gt;Control_Panel!$G$51,"Slightly Higher",IF(D14/HLOOKUP($D$7,$D$11:$G$37,4,FALSE)&lt;Control_Panel!$J$51,"Lower"," ")))))</f>
        <v>Lower</v>
      </c>
      <c r="D14" s="100">
        <f>HLOOKUP(D$11,Data!$B$59:$P$85,4,FALSE)/HLOOKUP(D$11,Data!$B$59:$P$85,2,FALSE)</f>
        <v>0.35475578406169667</v>
      </c>
      <c r="E14" s="100" t="e">
        <f>HLOOKUP(E$11,Data!$B$59:$P$85,4,FALSE)/HLOOKUP(E$11,Data!$B$59:$P$85,2,FALSE)</f>
        <v>#DIV/0!</v>
      </c>
      <c r="F14" s="100" t="e">
        <f>HLOOKUP(F$11,Data!$B$59:$P$85,4,FALSE)/HLOOKUP(F$11,Data!$B$59:$P$85,2,FALSE)</f>
        <v>#DIV/0!</v>
      </c>
      <c r="G14" s="103">
        <f>HLOOKUP(G$11,Data!$B$59:$P$85,4,FALSE)/HLOOKUP(G$11,Data!$B$59:$P$85,2,FALSE)</f>
        <v>0.64419276341627529</v>
      </c>
      <c r="H14" s="97">
        <f>HLOOKUP(D$11,Data!$B$59:$P$85,4,FALSE)</f>
        <v>552</v>
      </c>
      <c r="I14" s="72" t="s">
        <v>236</v>
      </c>
    </row>
    <row r="15" spans="1:9" x14ac:dyDescent="0.25">
      <c r="A15" s="155" t="s">
        <v>101</v>
      </c>
      <c r="B15" s="102" t="s">
        <v>96</v>
      </c>
      <c r="C15" s="99" t="str">
        <f>IF(HLOOKUP($D$7,$D$11:$G$71,5,FALSE)=0,"n/a",IF(D15/HLOOKUP($D$7,$D$11:$G$37,5,FALSE)&gt;Control_Panel!$I$51,"Much Higher",IF(D15/HLOOKUP($D$7,$D$11:$G$37,5,FALSE)&gt;Control_Panel!$H$51,"Higher",IF(D15/HLOOKUP($D$7,$D$11:$G$37,5,FALSE)&gt;Control_Panel!$G$51,"Slightly Higher",IF(D15/HLOOKUP($D$7,$D$11:$G$37,5,FALSE)&lt;Control_Panel!$J$51,"Lower"," ")))))</f>
        <v>Lower</v>
      </c>
      <c r="D15" s="100">
        <f>HLOOKUP(D$11,Data!$B$59:$P$85,5,FALSE)/HLOOKUP(D$11,Data!$B$59:$P$85,2,FALSE)</f>
        <v>5.1413881748071976E-3</v>
      </c>
      <c r="E15" s="100" t="e">
        <f>HLOOKUP(E$11,Data!$B$59:$P$85,5,FALSE)/HLOOKUP(E$11,Data!$B$59:$P$85,2,FALSE)</f>
        <v>#DIV/0!</v>
      </c>
      <c r="F15" s="100" t="e">
        <f>HLOOKUP(F$11,Data!$B$59:$P$85,5,FALSE)/HLOOKUP(F$11,Data!$B$59:$P$85,2,FALSE)</f>
        <v>#DIV/0!</v>
      </c>
      <c r="G15" s="103">
        <f>HLOOKUP(G$11,Data!$B$59:$P$85,5,FALSE)/HLOOKUP(G$11,Data!$B$59:$P$85,2,FALSE)</f>
        <v>8.4881119932496262E-3</v>
      </c>
      <c r="H15" s="97">
        <f>HLOOKUP(D$11,Data!$B$59:$P$85,5,FALSE)</f>
        <v>8</v>
      </c>
      <c r="I15" s="72" t="s">
        <v>236</v>
      </c>
    </row>
    <row r="16" spans="1:9" x14ac:dyDescent="0.25">
      <c r="A16" s="155" t="s">
        <v>101</v>
      </c>
      <c r="B16" s="102" t="s">
        <v>97</v>
      </c>
      <c r="C16" s="99" t="str">
        <f>IF(HLOOKUP($D$7,$D$11:$G$71,6,FALSE)=0,"n/a",IF(D16/HLOOKUP($D$7,$D$11:$G$37,6,FALSE)&gt;Control_Panel!$I$51,"Much Higher",IF(D16/HLOOKUP($D$7,$D$11:$G$37,6,FALSE)&gt;Control_Panel!$H$51,"Higher",IF(D16/HLOOKUP($D$7,$D$11:$G$37,6,FALSE)&gt;Control_Panel!$G$51,"Slightly Higher",IF(D16/HLOOKUP($D$7,$D$11:$G$37,6,FALSE)&lt;Control_Panel!$J$51,"Lower"," ")))))</f>
        <v>Lower</v>
      </c>
      <c r="D16" s="100">
        <f>HLOOKUP(D$11,Data!$B$59:$P$85,6,FALSE)/HLOOKUP(D$11,Data!$B$59:$P$85,2,FALSE)</f>
        <v>0</v>
      </c>
      <c r="E16" s="100" t="e">
        <f>HLOOKUP(E$11,Data!$B$59:$P$85,6,FALSE)/HLOOKUP(E$11,Data!$B$59:$P$85,2,FALSE)</f>
        <v>#DIV/0!</v>
      </c>
      <c r="F16" s="100" t="e">
        <f>HLOOKUP(F$11,Data!$B$59:$P$85,6,FALSE)/HLOOKUP(F$11,Data!$B$59:$P$85,2,FALSE)</f>
        <v>#DIV/0!</v>
      </c>
      <c r="G16" s="103">
        <f>HLOOKUP(G$11,Data!$B$59:$P$85,6,FALSE)/HLOOKUP(G$11,Data!$B$59:$P$85,2,FALSE)</f>
        <v>2.4155057258293082E-3</v>
      </c>
      <c r="H16" s="97">
        <f>HLOOKUP(D$11,Data!$B$59:$P$85,6,FALSE)</f>
        <v>0</v>
      </c>
      <c r="I16" s="72" t="s">
        <v>236</v>
      </c>
    </row>
    <row r="17" spans="1:9" x14ac:dyDescent="0.25">
      <c r="A17" s="155" t="s">
        <v>101</v>
      </c>
      <c r="B17" s="102" t="s">
        <v>98</v>
      </c>
      <c r="C17" s="99" t="str">
        <f>IF(HLOOKUP($D$7,$D$11:$G$71,7,FALSE)=0,"n/a",IF(D17/HLOOKUP($D$7,$D$11:$G$37,7,FALSE)&gt;Control_Panel!$I$51,"Much Higher",IF(D17/HLOOKUP($D$7,$D$11:$G$37,7,FALSE)&gt;Control_Panel!$H$51,"Higher",IF(D17/HLOOKUP($D$7,$D$11:$G$37,7,FALSE)&gt;Control_Panel!$G$51,"Slightly Higher",IF(D17/HLOOKUP($D$7,$D$11:$G$37,7,FALSE)&lt;Control_Panel!$J$51,"Lower"," ")))))</f>
        <v>Higher</v>
      </c>
      <c r="D17" s="100">
        <f>HLOOKUP(D$11,Data!$B$59:$P$85,7,FALSE)/HLOOKUP(D$11,Data!$B$59:$P$85,2,FALSE)</f>
        <v>0.60282776349614398</v>
      </c>
      <c r="E17" s="100" t="e">
        <f>HLOOKUP(E$11,Data!$B$59:$P$85,7,FALSE)/HLOOKUP(E$11,Data!$B$59:$P$85,2,FALSE)</f>
        <v>#DIV/0!</v>
      </c>
      <c r="F17" s="100" t="e">
        <f>HLOOKUP(F$11,Data!$B$59:$P$85,7,FALSE)/HLOOKUP(F$11,Data!$B$59:$P$85,2,FALSE)</f>
        <v>#DIV/0!</v>
      </c>
      <c r="G17" s="103">
        <f>HLOOKUP(G$11,Data!$B$59:$P$85,7,FALSE)/HLOOKUP(G$11,Data!$B$59:$P$85,2,FALSE)</f>
        <v>0.32353204595576646</v>
      </c>
      <c r="H17" s="97">
        <f>HLOOKUP(D$11,Data!$B$59:$P$85,7,FALSE)</f>
        <v>938</v>
      </c>
      <c r="I17" s="72" t="s">
        <v>236</v>
      </c>
    </row>
    <row r="18" spans="1:9" x14ac:dyDescent="0.25">
      <c r="A18" s="155" t="s">
        <v>101</v>
      </c>
      <c r="B18" s="102" t="s">
        <v>99</v>
      </c>
      <c r="C18" s="99" t="str">
        <f>IF(HLOOKUP($D$7,$D$11:$G$71,8,FALSE)=0,"n/a",IF(D18/HLOOKUP($D$7,$D$11:$G$37,8,FALSE)&gt;Control_Panel!$I$51,"Much Higher",IF(D18/HLOOKUP($D$7,$D$11:$G$37,8,FALSE)&gt;Control_Panel!$H$51,"Higher",IF(D18/HLOOKUP($D$7,$D$11:$G$37,8,FALSE)&gt;Control_Panel!$G$51,"Slightly Higher",IF(D18/HLOOKUP($D$7,$D$11:$G$37,8,FALSE)&lt;Control_Panel!$J$51,"Lower"," ")))))</f>
        <v>Higher</v>
      </c>
      <c r="D18" s="100">
        <f>HLOOKUP(D$11,Data!$B$59:$P$85,8,FALSE)/HLOOKUP(D$11,Data!$B$59:$P$85,2,FALSE)</f>
        <v>2.4421593830334189E-2</v>
      </c>
      <c r="E18" s="100" t="e">
        <f>HLOOKUP(E$11,Data!$B$59:$P$85,8,FALSE)/HLOOKUP(E$11,Data!$B$59:$P$85,2,FALSE)</f>
        <v>#DIV/0!</v>
      </c>
      <c r="F18" s="100" t="e">
        <f>HLOOKUP(F$11,Data!$B$59:$P$85,8,FALSE)/HLOOKUP(F$11,Data!$B$59:$P$85,2,FALSE)</f>
        <v>#DIV/0!</v>
      </c>
      <c r="G18" s="103">
        <f>HLOOKUP(G$11,Data!$B$59:$P$85,8,FALSE)/HLOOKUP(G$11,Data!$B$59:$P$85,2,FALSE)</f>
        <v>1.3900481243938367E-2</v>
      </c>
      <c r="H18" s="97">
        <f>HLOOKUP(D$11,Data!$B$59:$P$85,8,FALSE)</f>
        <v>38</v>
      </c>
      <c r="I18" s="72" t="s">
        <v>236</v>
      </c>
    </row>
    <row r="19" spans="1:9" x14ac:dyDescent="0.25">
      <c r="A19" s="155" t="s">
        <v>101</v>
      </c>
      <c r="B19" s="102" t="s">
        <v>100</v>
      </c>
      <c r="C19" s="99" t="str">
        <f>IF(HLOOKUP($D$7,$D$11:$G$71,9,FALSE)=0,"n/a",IF(D19/HLOOKUP($D$7,$D$11:$G$37,9,FALSE)&gt;Control_Panel!$I$51,"Much Higher",IF(D19/HLOOKUP($D$7,$D$11:$G$37,9,FALSE)&gt;Control_Panel!$H$51,"Higher",IF(D19/HLOOKUP($D$7,$D$11:$G$37,9,FALSE)&gt;Control_Panel!$G$51,"Slightly Higher",IF(D19/HLOOKUP($D$7,$D$11:$G$37,9,FALSE)&lt;Control_Panel!$J$51,"Lower"," ")))))</f>
        <v>Higher</v>
      </c>
      <c r="D19" s="100">
        <f>HLOOKUP(D$11,Data!$B$59:$P$85,9,FALSE)/HLOOKUP(D$11,Data!$B$59:$P$85,2,FALSE)</f>
        <v>1.2853470437017995E-2</v>
      </c>
      <c r="E19" s="100" t="e">
        <f>HLOOKUP(E$11,Data!$B$59:$P$85,9,FALSE)/HLOOKUP(E$11,Data!$B$59:$P$85,2,FALSE)</f>
        <v>#DIV/0!</v>
      </c>
      <c r="F19" s="100" t="e">
        <f>HLOOKUP(F$11,Data!$B$59:$P$85,9,FALSE)/HLOOKUP(F$11,Data!$B$59:$P$85,2,FALSE)</f>
        <v>#DIV/0!</v>
      </c>
      <c r="G19" s="103">
        <f>HLOOKUP(G$11,Data!$B$59:$P$85,9,FALSE)/HLOOKUP(G$11,Data!$B$59:$P$85,2,FALSE)</f>
        <v>7.47109166494094E-3</v>
      </c>
      <c r="H19" s="97">
        <f>HLOOKUP(D$11,Data!$B$59:$P$85,9,FALSE)</f>
        <v>20</v>
      </c>
      <c r="I19" s="72" t="s">
        <v>236</v>
      </c>
    </row>
    <row r="20" spans="1:9" x14ac:dyDescent="0.25">
      <c r="A20" s="155" t="s">
        <v>101</v>
      </c>
      <c r="B20" s="64" t="s">
        <v>59</v>
      </c>
      <c r="C20" s="99"/>
      <c r="D20" s="100"/>
      <c r="E20" s="100"/>
      <c r="F20" s="100"/>
      <c r="G20" s="103"/>
      <c r="H20" s="97"/>
      <c r="I20" s="72"/>
    </row>
    <row r="21" spans="1:9" x14ac:dyDescent="0.25">
      <c r="A21" s="155" t="s">
        <v>101</v>
      </c>
      <c r="B21" s="102" t="s">
        <v>50</v>
      </c>
      <c r="C21" s="99" t="str">
        <f>IF(HLOOKUP($D$7,$D$11:$G$71,11,FALSE)=0,"n/a",IF(D21/HLOOKUP($D$7,$D$11:$G$37,11,FALSE)&gt;Control_Panel!$I$52,"Much Higher",IF(D21/HLOOKUP($D$7,$D$11:$G$37,11,FALSE)&gt;Control_Panel!$H$52,"Higher",IF(D21/HLOOKUP($D$7,$D$11:$G$37,11,FALSE)&gt;Control_Panel!$G$52,"Slightly Higher",IF(D21/HLOOKUP($D$7,$D$11:$G$37,11,FALSE)&lt;Control_Panel!$J$52,"Lower"," ")))))</f>
        <v>Lower</v>
      </c>
      <c r="D21" s="100">
        <f>HLOOKUP(D$11,Data!$B$59:$P$85,11,FALSE)/(HLOOKUP(D$11,Data!$B$59:$P$67,4,FALSE)+HLOOKUP(D$11,Data!$B$59:$P$67,5,FALSE)+HLOOKUP(D$11,Data!$B$59:$P$67,6,FALSE))</f>
        <v>0</v>
      </c>
      <c r="E21" s="100" t="e">
        <f>HLOOKUP(E$11,Data!$B$59:$P$85,11,FALSE)/(HLOOKUP(E$11,Data!$B$59:$P$67,4,FALSE)+HLOOKUP(E$11,Data!$B$59:$P$67,5,FALSE)+HLOOKUP(E$11,Data!$B$59:$P$67,6,FALSE))</f>
        <v>#DIV/0!</v>
      </c>
      <c r="F21" s="100" t="e">
        <f>HLOOKUP(F$11,Data!$B$59:$P$85,11,FALSE)/(HLOOKUP(F$11,Data!$B$59:$P$67,4,FALSE)+HLOOKUP(F$11,Data!$B$59:$P$67,5,FALSE)+HLOOKUP(F$11,Data!$B$59:$P$67,6,FALSE))</f>
        <v>#DIV/0!</v>
      </c>
      <c r="G21" s="103">
        <f>HLOOKUP(G$11,Data!$B$59:$P$85,11,FALSE)/(HLOOKUP(G$11,Data!$B$59:$P$67,4,FALSE)+HLOOKUP(G$11,Data!$B$59:$P$67,5,FALSE)+HLOOKUP(G$11,Data!$B$59:$P$67,6,FALSE))</f>
        <v>1.2121005617286935E-3</v>
      </c>
      <c r="H21" s="97">
        <f>HLOOKUP(D$11,Data!$B$59:$P$85,11,FALSE)</f>
        <v>0</v>
      </c>
      <c r="I21" s="72" t="s">
        <v>217</v>
      </c>
    </row>
    <row r="22" spans="1:9" x14ac:dyDescent="0.25">
      <c r="A22" s="155" t="s">
        <v>101</v>
      </c>
      <c r="B22" s="102" t="s">
        <v>51</v>
      </c>
      <c r="C22" s="99" t="str">
        <f>IF(HLOOKUP($D$7,$D$11:$G$71,12,FALSE)=0,"n/a",IF(D22/HLOOKUP($D$7,$D$11:$G$37,12,FALSE)&gt;Control_Panel!$I$52,"Much Higher",IF(D22/HLOOKUP($D$7,$D$11:$G$37,12,FALSE)&gt;Control_Panel!$H$52,"Higher",IF(D22/HLOOKUP($D$7,$D$11:$G$37,12,FALSE)&gt;Control_Panel!$G$52,"Slightly Higher",IF(D22/HLOOKUP($D$7,$D$11:$G$37,12,FALSE)&lt;Control_Panel!$J$52,"Lower"," ")))))</f>
        <v>Lower</v>
      </c>
      <c r="D22" s="100">
        <f>HLOOKUP(D$11,Data!$B$59:$P$85,12,FALSE)/(HLOOKUP(D$11,Data!$B$59:$P$67,4,FALSE)+HLOOKUP(D$11,Data!$B$59:$P$67,5,FALSE)+HLOOKUP(D$11,Data!$B$59:$P$67,6,FALSE))</f>
        <v>0</v>
      </c>
      <c r="E22" s="100" t="e">
        <f>HLOOKUP(E$11,Data!$B$59:$P$85,12,FALSE)/(HLOOKUP(E$11,Data!$B$59:$P$67,4,FALSE)+HLOOKUP(E$11,Data!$B$59:$P$67,5,FALSE)+HLOOKUP(E$11,Data!$B$59:$P$67,6,FALSE))</f>
        <v>#DIV/0!</v>
      </c>
      <c r="F22" s="100" t="e">
        <f>HLOOKUP(F$11,Data!$B$59:$P$85,12,FALSE)/(HLOOKUP(F$11,Data!$B$59:$P$67,4,FALSE)+HLOOKUP(F$11,Data!$B$59:$P$67,5,FALSE)+HLOOKUP(F$11,Data!$B$59:$P$67,6,FALSE))</f>
        <v>#DIV/0!</v>
      </c>
      <c r="G22" s="103">
        <f>HLOOKUP(G$11,Data!$B$59:$P$85,12,FALSE)/(HLOOKUP(G$11,Data!$B$59:$P$67,4,FALSE)+HLOOKUP(G$11,Data!$B$59:$P$67,5,FALSE)+HLOOKUP(G$11,Data!$B$59:$P$67,6,FALSE))</f>
        <v>1.9136338176043474E-3</v>
      </c>
      <c r="H22" s="97">
        <f>HLOOKUP(D$11,Data!$B$59:$P$85,12,FALSE)</f>
        <v>0</v>
      </c>
      <c r="I22" s="72" t="s">
        <v>217</v>
      </c>
    </row>
    <row r="23" spans="1:9" x14ac:dyDescent="0.25">
      <c r="A23" s="155" t="s">
        <v>101</v>
      </c>
      <c r="B23" s="102" t="s">
        <v>52</v>
      </c>
      <c r="C23" s="99" t="str">
        <f>IF(HLOOKUP($D$7,$D$11:$G$71,13,FALSE)=0,"n/a",IF(D23/HLOOKUP($D$7,$D$11:$G$37,13,FALSE)&gt;Control_Panel!$I$52,"Much Higher",IF(D23/HLOOKUP($D$7,$D$11:$G$37,13,FALSE)&gt;Control_Panel!$H$52,"Higher",IF(D23/HLOOKUP($D$7,$D$11:$G$37,13,FALSE)&gt;Control_Panel!$G$52,"Slightly Higher",IF(D23/HLOOKUP($D$7,$D$11:$G$37,13,FALSE)&lt;Control_Panel!$J$52,"Lower"," ")))))</f>
        <v>Lower</v>
      </c>
      <c r="D23" s="100">
        <f>HLOOKUP(D$11,Data!$B$59:$P$85,13,FALSE)/(HLOOKUP(D$11,Data!$B$59:$P$67,4,FALSE)+HLOOKUP(D$11,Data!$B$59:$P$67,5,FALSE)+HLOOKUP(D$11,Data!$B$59:$P$67,6,FALSE))</f>
        <v>0</v>
      </c>
      <c r="E23" s="100" t="e">
        <f>HLOOKUP(E$11,Data!$B$59:$P$85,13,FALSE)/(HLOOKUP(E$11,Data!$B$59:$P$67,4,FALSE)+HLOOKUP(E$11,Data!$B$59:$P$67,5,FALSE)+HLOOKUP(E$11,Data!$B$59:$P$67,6,FALSE))</f>
        <v>#DIV/0!</v>
      </c>
      <c r="F23" s="100" t="e">
        <f>HLOOKUP(F$11,Data!$B$59:$P$85,13,FALSE)/(HLOOKUP(F$11,Data!$B$59:$P$67,4,FALSE)+HLOOKUP(F$11,Data!$B$59:$P$67,5,FALSE)+HLOOKUP(F$11,Data!$B$59:$P$67,6,FALSE))</f>
        <v>#DIV/0!</v>
      </c>
      <c r="G23" s="103">
        <f>HLOOKUP(G$11,Data!$B$59:$P$85,13,FALSE)/(HLOOKUP(G$11,Data!$B$59:$P$67,4,FALSE)+HLOOKUP(G$11,Data!$B$59:$P$67,5,FALSE)+HLOOKUP(G$11,Data!$B$59:$P$67,6,FALSE))</f>
        <v>3.1913106160733769E-3</v>
      </c>
      <c r="H23" s="97">
        <f>HLOOKUP(D$11,Data!$B$59:$P$85,13,FALSE)</f>
        <v>0</v>
      </c>
      <c r="I23" s="72" t="s">
        <v>217</v>
      </c>
    </row>
    <row r="24" spans="1:9" x14ac:dyDescent="0.25">
      <c r="A24" s="155" t="s">
        <v>101</v>
      </c>
      <c r="B24" s="102" t="s">
        <v>53</v>
      </c>
      <c r="C24" s="99" t="str">
        <f>IF(HLOOKUP($D$7,$D$11:$G$71,14,FALSE)=0,"n/a",IF(D24/HLOOKUP($D$7,$D$11:$G$37,14,FALSE)&gt;Control_Panel!$I$52,"Much Higher",IF(D24/HLOOKUP($D$7,$D$11:$G$37,14,FALSE)&gt;Control_Panel!$H$52,"Higher",IF(D24/HLOOKUP($D$7,$D$11:$G$37,14,FALSE)&gt;Control_Panel!$G$52,"Slightly Higher",IF(D24/HLOOKUP($D$7,$D$11:$G$37,14,FALSE)&lt;Control_Panel!$J$52,"Lower"," ")))))</f>
        <v>Lower</v>
      </c>
      <c r="D24" s="100">
        <f>HLOOKUP(D$11,Data!$B$59:$P$85,14,FALSE)/(HLOOKUP(D$11,Data!$B$59:$P$67,4,FALSE)+HLOOKUP(D$11,Data!$B$59:$P$67,5,FALSE)+HLOOKUP(D$11,Data!$B$59:$P$67,6,FALSE))</f>
        <v>0</v>
      </c>
      <c r="E24" s="100" t="e">
        <f>HLOOKUP(E$11,Data!$B$59:$P$85,14,FALSE)/(HLOOKUP(E$11,Data!$B$59:$P$67,4,FALSE)+HLOOKUP(E$11,Data!$B$59:$P$67,5,FALSE)+HLOOKUP(E$11,Data!$B$59:$P$67,6,FALSE))</f>
        <v>#DIV/0!</v>
      </c>
      <c r="F24" s="100" t="e">
        <f>HLOOKUP(F$11,Data!$B$59:$P$85,14,FALSE)/(HLOOKUP(F$11,Data!$B$59:$P$67,4,FALSE)+HLOOKUP(F$11,Data!$B$59:$P$67,5,FALSE)+HLOOKUP(F$11,Data!$B$59:$P$67,6,FALSE))</f>
        <v>#DIV/0!</v>
      </c>
      <c r="G24" s="103">
        <f>HLOOKUP(G$11,Data!$B$59:$P$85,14,FALSE)/(HLOOKUP(G$11,Data!$B$59:$P$67,4,FALSE)+HLOOKUP(G$11,Data!$B$59:$P$67,5,FALSE)+HLOOKUP(G$11,Data!$B$59:$P$67,6,FALSE))</f>
        <v>1.8487199670937119E-3</v>
      </c>
      <c r="H24" s="97">
        <f>HLOOKUP(D$11,Data!$B$59:$P$85,14,FALSE)</f>
        <v>0</v>
      </c>
      <c r="I24" s="72" t="s">
        <v>217</v>
      </c>
    </row>
    <row r="25" spans="1:9" x14ac:dyDescent="0.25">
      <c r="A25" s="155" t="s">
        <v>101</v>
      </c>
      <c r="B25" s="102" t="s">
        <v>54</v>
      </c>
      <c r="C25" s="99" t="str">
        <f>IF(HLOOKUP($D$7,$D$11:$G$71,15,FALSE)=0,"n/a",IF(D25/HLOOKUP($D$7,$D$11:$G$37,15,FALSE)&gt;Control_Panel!$I$52,"Much Higher",IF(D25/HLOOKUP($D$7,$D$11:$G$37,15,FALSE)&gt;Control_Panel!$H$52,"Higher",IF(D25/HLOOKUP($D$7,$D$11:$G$37,15,FALSE)&gt;Control_Panel!$G$52,"Slightly Higher",IF(D25/HLOOKUP($D$7,$D$11:$G$37,15,FALSE)&lt;Control_Panel!$J$52,"Lower"," ")))))</f>
        <v>Lower</v>
      </c>
      <c r="D25" s="100">
        <f>HLOOKUP(D$11,Data!$B$59:$P$85,15,FALSE)/(HLOOKUP(D$11,Data!$B$59:$P$67,4,FALSE)+HLOOKUP(D$11,Data!$B$59:$P$67,5,FALSE)+HLOOKUP(D$11,Data!$B$59:$P$67,6,FALSE))</f>
        <v>0</v>
      </c>
      <c r="E25" s="100" t="e">
        <f>HLOOKUP(E$11,Data!$B$59:$P$85,15,FALSE)/(HLOOKUP(E$11,Data!$B$59:$P$67,4,FALSE)+HLOOKUP(E$11,Data!$B$59:$P$67,5,FALSE)+HLOOKUP(E$11,Data!$B$59:$P$67,6,FALSE))</f>
        <v>#DIV/0!</v>
      </c>
      <c r="F25" s="100" t="e">
        <f>HLOOKUP(F$11,Data!$B$59:$P$85,15,FALSE)/(HLOOKUP(F$11,Data!$B$59:$P$67,4,FALSE)+HLOOKUP(F$11,Data!$B$59:$P$67,5,FALSE)+HLOOKUP(F$11,Data!$B$59:$P$67,6,FALSE))</f>
        <v>#DIV/0!</v>
      </c>
      <c r="G25" s="103">
        <f>HLOOKUP(G$11,Data!$B$59:$P$85,15,FALSE)/(HLOOKUP(G$11,Data!$B$59:$P$67,4,FALSE)+HLOOKUP(G$11,Data!$B$59:$P$67,5,FALSE)+HLOOKUP(G$11,Data!$B$59:$P$67,6,FALSE))</f>
        <v>3.8961558030975327E-4</v>
      </c>
      <c r="H25" s="97">
        <f>HLOOKUP(D$11,Data!$B$59:$P$85,15,FALSE)</f>
        <v>0</v>
      </c>
      <c r="I25" s="72" t="s">
        <v>217</v>
      </c>
    </row>
    <row r="26" spans="1:9" x14ac:dyDescent="0.25">
      <c r="A26" s="155" t="s">
        <v>101</v>
      </c>
      <c r="B26" s="102" t="s">
        <v>55</v>
      </c>
      <c r="C26" s="99" t="str">
        <f>IF(HLOOKUP($D$7,$D$11:$G$71,16,FALSE)=0,"n/a",IF(D26/HLOOKUP($D$7,$D$11:$G$37,16,FALSE)&gt;Control_Panel!$I$52,"Much Higher",IF(D26/HLOOKUP($D$7,$D$11:$G$37,16,FALSE)&gt;Control_Panel!$H$52,"Higher",IF(D26/HLOOKUP($D$7,$D$11:$G$37,16,FALSE)&gt;Control_Panel!$G$52,"Slightly Higher",IF(D26/HLOOKUP($D$7,$D$11:$G$37,16,FALSE)&lt;Control_Panel!$J$52,"Lower"," ")))))</f>
        <v>Lower</v>
      </c>
      <c r="D26" s="100">
        <f>HLOOKUP(D$11,Data!$B$59:$P$85,16,FALSE)/(HLOOKUP(D$11,Data!$B$59:$P$67,4,FALSE)+HLOOKUP(D$11,Data!$B$59:$P$67,5,FALSE)+HLOOKUP(D$11,Data!$B$59:$P$67,6,FALSE))</f>
        <v>0</v>
      </c>
      <c r="E26" s="100" t="e">
        <f>HLOOKUP(E$11,Data!$B$59:$P$85,16,FALSE)/(HLOOKUP(E$11,Data!$B$59:$P$67,4,FALSE)+HLOOKUP(E$11,Data!$B$59:$P$67,5,FALSE)+HLOOKUP(E$11,Data!$B$59:$P$67,6,FALSE))</f>
        <v>#DIV/0!</v>
      </c>
      <c r="F26" s="100" t="e">
        <f>HLOOKUP(F$11,Data!$B$59:$P$85,16,FALSE)/(HLOOKUP(F$11,Data!$B$59:$P$67,4,FALSE)+HLOOKUP(F$11,Data!$B$59:$P$67,5,FALSE)+HLOOKUP(F$11,Data!$B$59:$P$67,6,FALSE))</f>
        <v>#DIV/0!</v>
      </c>
      <c r="G26" s="103">
        <f>HLOOKUP(G$11,Data!$B$59:$P$85,16,FALSE)/(HLOOKUP(G$11,Data!$B$59:$P$67,4,FALSE)+HLOOKUP(G$11,Data!$B$59:$P$67,5,FALSE)+HLOOKUP(G$11,Data!$B$59:$P$67,6,FALSE))</f>
        <v>5.3514183497492291E-4</v>
      </c>
      <c r="H26" s="97">
        <f>HLOOKUP(D$11,Data!$B$59:$P$85,16,FALSE)</f>
        <v>0</v>
      </c>
      <c r="I26" s="72" t="s">
        <v>217</v>
      </c>
    </row>
    <row r="27" spans="1:9" x14ac:dyDescent="0.25">
      <c r="A27" s="155" t="s">
        <v>101</v>
      </c>
      <c r="B27" s="102" t="s">
        <v>56</v>
      </c>
      <c r="C27" s="99" t="str">
        <f>IF(HLOOKUP($D$7,$D$11:$G$71,17,FALSE)=0,"n/a",IF(D27/HLOOKUP($D$7,$D$11:$G$37,17,FALSE)&gt;Control_Panel!$I$52,"Much Higher",IF(D27/HLOOKUP($D$7,$D$11:$G$37,17,FALSE)&gt;Control_Panel!$H$52,"Higher",IF(D27/HLOOKUP($D$7,$D$11:$G$37,17,FALSE)&gt;Control_Panel!$G$52,"Slightly Higher",IF(D27/HLOOKUP($D$7,$D$11:$G$37,17,FALSE)&lt;Control_Panel!$J$52,"Lower"," ")))))</f>
        <v>Lower</v>
      </c>
      <c r="D27" s="100">
        <f>HLOOKUP(D$11,Data!$B$59:$P$85,17,FALSE)/(HLOOKUP(D$11,Data!$B$59:$P$67,4,FALSE)+HLOOKUP(D$11,Data!$B$59:$P$67,5,FALSE)+HLOOKUP(D$11,Data!$B$59:$P$67,6,FALSE))</f>
        <v>0</v>
      </c>
      <c r="E27" s="100" t="e">
        <f>HLOOKUP(E$11,Data!$B$59:$P$85,17,FALSE)/(HLOOKUP(E$11,Data!$B$59:$P$67,4,FALSE)+HLOOKUP(E$11,Data!$B$59:$P$67,5,FALSE)+HLOOKUP(E$11,Data!$B$59:$P$67,6,FALSE))</f>
        <v>#DIV/0!</v>
      </c>
      <c r="F27" s="100" t="e">
        <f>HLOOKUP(F$11,Data!$B$59:$P$85,17,FALSE)/(HLOOKUP(F$11,Data!$B$59:$P$67,4,FALSE)+HLOOKUP(F$11,Data!$B$59:$P$67,5,FALSE)+HLOOKUP(F$11,Data!$B$59:$P$67,6,FALSE))</f>
        <v>#DIV/0!</v>
      </c>
      <c r="G27" s="103">
        <f>HLOOKUP(G$11,Data!$B$59:$P$85,17,FALSE)/(HLOOKUP(G$11,Data!$B$59:$P$67,4,FALSE)+HLOOKUP(G$11,Data!$B$59:$P$67,5,FALSE)+HLOOKUP(G$11,Data!$B$59:$P$67,6,FALSE))</f>
        <v>8.0544840759104691E-4</v>
      </c>
      <c r="H27" s="97">
        <f>HLOOKUP(D$11,Data!$B$59:$P$85,17,FALSE)</f>
        <v>0</v>
      </c>
      <c r="I27" s="72" t="s">
        <v>217</v>
      </c>
    </row>
    <row r="28" spans="1:9" x14ac:dyDescent="0.25">
      <c r="A28" s="155" t="s">
        <v>101</v>
      </c>
      <c r="B28" s="102" t="s">
        <v>57</v>
      </c>
      <c r="C28" s="99" t="str">
        <f>IF(HLOOKUP($D$7,$D$11:$G$71,18,FALSE)=0,"n/a",IF(D28/HLOOKUP($D$7,$D$11:$G$37,18,FALSE)&gt;Control_Panel!$I$52,"Much Higher",IF(D28/HLOOKUP($D$7,$D$11:$G$37,18,FALSE)&gt;Control_Panel!$H$52,"Higher",IF(D28/HLOOKUP($D$7,$D$11:$G$37,18,FALSE)&gt;Control_Panel!$G$52,"Slightly Higher",IF(D28/HLOOKUP($D$7,$D$11:$G$37,18,FALSE)&lt;Control_Panel!$J$52,"Lower"," ")))))</f>
        <v>Lower</v>
      </c>
      <c r="D28" s="100">
        <f>HLOOKUP(D$11,Data!$B$59:$P$85,18,FALSE)/(HLOOKUP(D$11,Data!$B$59:$P$67,4,FALSE)+HLOOKUP(D$11,Data!$B$59:$P$67,5,FALSE)+HLOOKUP(D$11,Data!$B$59:$P$67,6,FALSE))</f>
        <v>0</v>
      </c>
      <c r="E28" s="100" t="e">
        <f>HLOOKUP(E$11,Data!$B$59:$P$85,18,FALSE)/(HLOOKUP(E$11,Data!$B$59:$P$67,4,FALSE)+HLOOKUP(E$11,Data!$B$59:$P$67,5,FALSE)+HLOOKUP(E$11,Data!$B$59:$P$67,6,FALSE))</f>
        <v>#DIV/0!</v>
      </c>
      <c r="F28" s="100" t="e">
        <f>HLOOKUP(F$11,Data!$B$59:$P$85,18,FALSE)/(HLOOKUP(F$11,Data!$B$59:$P$67,4,FALSE)+HLOOKUP(F$11,Data!$B$59:$P$67,5,FALSE)+HLOOKUP(F$11,Data!$B$59:$P$67,6,FALSE))</f>
        <v>#DIV/0!</v>
      </c>
      <c r="G28" s="103">
        <f>HLOOKUP(G$11,Data!$B$59:$P$85,18,FALSE)/(HLOOKUP(G$11,Data!$B$59:$P$67,4,FALSE)+HLOOKUP(G$11,Data!$B$59:$P$67,5,FALSE)+HLOOKUP(G$11,Data!$B$59:$P$67,6,FALSE))</f>
        <v>4.5572172603384944E-4</v>
      </c>
      <c r="H28" s="97">
        <f>HLOOKUP(D$11,Data!$B$59:$P$85,18,FALSE)</f>
        <v>0</v>
      </c>
      <c r="I28" s="72" t="s">
        <v>217</v>
      </c>
    </row>
    <row r="29" spans="1:9" x14ac:dyDescent="0.25">
      <c r="A29" s="155" t="s">
        <v>101</v>
      </c>
      <c r="B29" s="64" t="s">
        <v>75</v>
      </c>
      <c r="C29" s="99"/>
      <c r="D29" s="100"/>
      <c r="E29" s="100"/>
      <c r="F29" s="100"/>
      <c r="G29" s="103"/>
      <c r="H29" s="97"/>
      <c r="I29" s="72"/>
    </row>
    <row r="30" spans="1:9" x14ac:dyDescent="0.25">
      <c r="A30" s="155" t="s">
        <v>101</v>
      </c>
      <c r="B30" s="102" t="s">
        <v>50</v>
      </c>
      <c r="C30" s="99" t="str">
        <f>IF(HLOOKUP($D$7,$D$11:$G$71,20,FALSE)=0,"n/a",IF(D30/HLOOKUP($D$7,$D$11:$G$37,20,FALSE)&gt;Control_Panel!$I$53,"Much Higher",IF(D30/HLOOKUP($D$7,$D$11:$G$37,20,FALSE)&gt;Control_Panel!$H$53,"Higher",IF(D30/HLOOKUP($D$7,$D$11:$G$37,20,FALSE)&gt;Control_Panel!$G$53,"Slightly Higher",IF(D30/HLOOKUP($D$7,$D$11:$G$37,20,FALSE)&lt;Control_Panel!$J$53,"Lower"," ")))))</f>
        <v>Lower</v>
      </c>
      <c r="D30" s="100">
        <f>HLOOKUP(D$11,Data!$B$59:$P$85,20,FALSE)/(HLOOKUP(D$11,Data!$B$59:$P$67,7,FALSE)+HLOOKUP(D$11,Data!$B$59:$P$67,8,FALSE)+HLOOKUP(D$11,Data!$B$59:$P$67,9,FALSE))</f>
        <v>0</v>
      </c>
      <c r="E30" s="100" t="e">
        <f>HLOOKUP(E$11,Data!$B$59:$P$85,20,FALSE)/(HLOOKUP(E$11,Data!$B$59:$P$67,7,FALSE)+HLOOKUP(E$11,Data!$B$59:$P$67,8,FALSE)+HLOOKUP(E$11,Data!$B$59:$P$67,9,FALSE))</f>
        <v>#DIV/0!</v>
      </c>
      <c r="F30" s="100" t="e">
        <f>HLOOKUP(F$11,Data!$B$59:$P$85,20,FALSE)/(HLOOKUP(F$11,Data!$B$59:$P$67,7,FALSE)+HLOOKUP(F$11,Data!$B$59:$P$67,8,FALSE)+HLOOKUP(F$11,Data!$B$59:$P$67,9,FALSE))</f>
        <v>#DIV/0!</v>
      </c>
      <c r="G30" s="103">
        <f>HLOOKUP(G$11,Data!$B$59:$P$85,20,FALSE)/(HLOOKUP(G$11,Data!$B$59:$P$67,7,FALSE)+HLOOKUP(G$11,Data!$B$59:$P$67,8,FALSE)+HLOOKUP(G$11,Data!$B$59:$P$67,9,FALSE))</f>
        <v>1.1482270167578541E-2</v>
      </c>
      <c r="H30" s="97">
        <f>HLOOKUP(D$11,Data!$B$59:$P$85,20,FALSE)</f>
        <v>0</v>
      </c>
      <c r="I30" s="72" t="s">
        <v>218</v>
      </c>
    </row>
    <row r="31" spans="1:9" x14ac:dyDescent="0.25">
      <c r="A31" s="155" t="s">
        <v>101</v>
      </c>
      <c r="B31" s="102" t="s">
        <v>51</v>
      </c>
      <c r="C31" s="99" t="str">
        <f>IF(HLOOKUP($D$7,$D$11:$G$71,21,FALSE)=0,"n/a",IF(D31/HLOOKUP($D$7,$D$11:$G$37,21,FALSE)&gt;Control_Panel!$I$53,"Much Higher",IF(D31/HLOOKUP($D$7,$D$11:$G$37,21,FALSE)&gt;Control_Panel!$H$53,"Higher",IF(D31/HLOOKUP($D$7,$D$11:$G$37,21,FALSE)&gt;Control_Panel!$G$53,"Slightly Higher",IF(D31/HLOOKUP($D$7,$D$11:$G$37,21,FALSE)&lt;Control_Panel!$J$53,"Lower"," ")))))</f>
        <v>Much Higher</v>
      </c>
      <c r="D31" s="100">
        <f>HLOOKUP(D$11,Data!$B$59:$P$85,21,FALSE)/(HLOOKUP(D$11,Data!$B$59:$P$67,7,FALSE)+HLOOKUP(D$11,Data!$B$59:$P$67,8,FALSE)+HLOOKUP(D$11,Data!$B$59:$P$67,9,FALSE))</f>
        <v>3.0120481927710843E-2</v>
      </c>
      <c r="E31" s="100" t="e">
        <f>HLOOKUP(E$11,Data!$B$59:$P$85,21,FALSE)/(HLOOKUP(E$11,Data!$B$59:$P$67,7,FALSE)+HLOOKUP(E$11,Data!$B$59:$P$67,8,FALSE)+HLOOKUP(E$11,Data!$B$59:$P$67,9,FALSE))</f>
        <v>#DIV/0!</v>
      </c>
      <c r="F31" s="100" t="e">
        <f>HLOOKUP(F$11,Data!$B$59:$P$85,21,FALSE)/(HLOOKUP(F$11,Data!$B$59:$P$67,7,FALSE)+HLOOKUP(F$11,Data!$B$59:$P$67,8,FALSE)+HLOOKUP(F$11,Data!$B$59:$P$67,9,FALSE))</f>
        <v>#DIV/0!</v>
      </c>
      <c r="G31" s="103">
        <f>HLOOKUP(G$11,Data!$B$59:$P$85,21,FALSE)/(HLOOKUP(G$11,Data!$B$59:$P$67,7,FALSE)+HLOOKUP(G$11,Data!$B$59:$P$67,8,FALSE)+HLOOKUP(G$11,Data!$B$59:$P$67,9,FALSE))</f>
        <v>9.7901117103882246E-3</v>
      </c>
      <c r="H31" s="97">
        <f>HLOOKUP(D$11,Data!$B$59:$P$85,21,FALSE)</f>
        <v>30</v>
      </c>
      <c r="I31" s="72" t="s">
        <v>218</v>
      </c>
    </row>
    <row r="32" spans="1:9" x14ac:dyDescent="0.25">
      <c r="A32" s="155" t="s">
        <v>101</v>
      </c>
      <c r="B32" s="102" t="s">
        <v>52</v>
      </c>
      <c r="C32" s="99" t="str">
        <f>IF(HLOOKUP($D$7,$D$11:$G$71,22,FALSE)=0,"n/a",IF(D32/HLOOKUP($D$7,$D$11:$G$37,22,FALSE)&gt;Control_Panel!$I$53,"Much Higher",IF(D32/HLOOKUP($D$7,$D$11:$G$37,22,FALSE)&gt;Control_Panel!$H$53,"Higher",IF(D32/HLOOKUP($D$7,$D$11:$G$37,22,FALSE)&gt;Control_Panel!$G$53,"Slightly Higher",IF(D32/HLOOKUP($D$7,$D$11:$G$37,22,FALSE)&lt;Control_Panel!$J$53,"Lower"," ")))))</f>
        <v>Lower</v>
      </c>
      <c r="D32" s="100">
        <f>HLOOKUP(D$11,Data!$B$59:$P$85,22,FALSE)/(HLOOKUP(D$11,Data!$B$59:$P$67,7,FALSE)+HLOOKUP(D$11,Data!$B$59:$P$67,8,FALSE)+HLOOKUP(D$11,Data!$B$59:$P$67,9,FALSE))</f>
        <v>0</v>
      </c>
      <c r="E32" s="100" t="e">
        <f>HLOOKUP(E$11,Data!$B$59:$P$85,22,FALSE)/(HLOOKUP(E$11,Data!$B$59:$P$67,7,FALSE)+HLOOKUP(E$11,Data!$B$59:$P$67,8,FALSE)+HLOOKUP(E$11,Data!$B$59:$P$67,9,FALSE))</f>
        <v>#DIV/0!</v>
      </c>
      <c r="F32" s="100" t="e">
        <f>HLOOKUP(F$11,Data!$B$59:$P$85,22,FALSE)/(HLOOKUP(F$11,Data!$B$59:$P$67,7,FALSE)+HLOOKUP(F$11,Data!$B$59:$P$67,8,FALSE)+HLOOKUP(F$11,Data!$B$59:$P$67,9,FALSE))</f>
        <v>#DIV/0!</v>
      </c>
      <c r="G32" s="103">
        <f>HLOOKUP(G$11,Data!$B$59:$P$85,22,FALSE)/(HLOOKUP(G$11,Data!$B$59:$P$67,7,FALSE)+HLOOKUP(G$11,Data!$B$59:$P$67,8,FALSE)+HLOOKUP(G$11,Data!$B$59:$P$67,9,FALSE))</f>
        <v>9.2820867401180018E-3</v>
      </c>
      <c r="H32" s="97">
        <f>HLOOKUP(D$11,Data!$B$59:$P$85,22,FALSE)</f>
        <v>0</v>
      </c>
      <c r="I32" s="72" t="s">
        <v>218</v>
      </c>
    </row>
    <row r="33" spans="1:9" x14ac:dyDescent="0.25">
      <c r="A33" s="155" t="s">
        <v>101</v>
      </c>
      <c r="B33" s="102" t="s">
        <v>53</v>
      </c>
      <c r="C33" s="99" t="str">
        <f>IF(HLOOKUP($D$7,$D$11:$G$71,23,FALSE)=0,"n/a",IF(D33/HLOOKUP($D$7,$D$11:$G$37,23,FALSE)&gt;Control_Panel!$I$53,"Much Higher",IF(D33/HLOOKUP($D$7,$D$11:$G$37,23,FALSE)&gt;Control_Panel!$H$53,"Higher",IF(D33/HLOOKUP($D$7,$D$11:$G$37,23,FALSE)&gt;Control_Panel!$G$53,"Slightly Higher",IF(D33/HLOOKUP($D$7,$D$11:$G$37,23,FALSE)&lt;Control_Panel!$J$53,"Lower"," ")))))</f>
        <v>Much Higher</v>
      </c>
      <c r="D33" s="100">
        <f>HLOOKUP(D$11,Data!$B$59:$P$85,23,FALSE)/(HLOOKUP(D$11,Data!$B$59:$P$67,7,FALSE)+HLOOKUP(D$11,Data!$B$59:$P$67,8,FALSE)+HLOOKUP(D$11,Data!$B$59:$P$67,9,FALSE))</f>
        <v>1.0040160642570281E-2</v>
      </c>
      <c r="E33" s="100" t="e">
        <f>HLOOKUP(E$11,Data!$B$59:$P$85,23,FALSE)/(HLOOKUP(E$11,Data!$B$59:$P$67,7,FALSE)+HLOOKUP(E$11,Data!$B$59:$P$67,8,FALSE)+HLOOKUP(E$11,Data!$B$59:$P$67,9,FALSE))</f>
        <v>#DIV/0!</v>
      </c>
      <c r="F33" s="100" t="e">
        <f>HLOOKUP(F$11,Data!$B$59:$P$85,23,FALSE)/(HLOOKUP(F$11,Data!$B$59:$P$67,7,FALSE)+HLOOKUP(F$11,Data!$B$59:$P$67,8,FALSE)+HLOOKUP(F$11,Data!$B$59:$P$67,9,FALSE))</f>
        <v>#DIV/0!</v>
      </c>
      <c r="G33" s="103">
        <f>HLOOKUP(G$11,Data!$B$59:$P$85,23,FALSE)/(HLOOKUP(G$11,Data!$B$59:$P$67,7,FALSE)+HLOOKUP(G$11,Data!$B$59:$P$67,8,FALSE)+HLOOKUP(G$11,Data!$B$59:$P$67,9,FALSE))</f>
        <v>3.6213449094249853E-3</v>
      </c>
      <c r="H33" s="97">
        <f>HLOOKUP(D$11,Data!$B$59:$P$85,23,FALSE)</f>
        <v>10</v>
      </c>
      <c r="I33" s="72" t="s">
        <v>218</v>
      </c>
    </row>
    <row r="34" spans="1:9" x14ac:dyDescent="0.25">
      <c r="A34" s="155" t="s">
        <v>101</v>
      </c>
      <c r="B34" s="102" t="s">
        <v>54</v>
      </c>
      <c r="C34" s="99" t="str">
        <f>IF(HLOOKUP($D$7,$D$11:$G$71,24,FALSE)=0,"n/a",IF(D34/HLOOKUP($D$7,$D$11:$G$37,24,FALSE)&gt;Control_Panel!$I$53,"Much Higher",IF(D34/HLOOKUP($D$7,$D$11:$G$37,24,FALSE)&gt;Control_Panel!$H$53,"Higher",IF(D34/HLOOKUP($D$7,$D$11:$G$37,24,FALSE)&gt;Control_Panel!$G$53,"Slightly Higher",IF(D34/HLOOKUP($D$7,$D$11:$G$37,24,FALSE)&lt;Control_Panel!$J$53,"Lower"," ")))))</f>
        <v>Lower</v>
      </c>
      <c r="D34" s="100">
        <f>HLOOKUP(D$11,Data!$B$59:$P$85,24,FALSE)/(HLOOKUP(D$11,Data!$B$59:$P$67,7,FALSE)+HLOOKUP(D$11,Data!$B$59:$P$67,8,FALSE)+HLOOKUP(D$11,Data!$B$59:$P$67,9,FALSE))</f>
        <v>0</v>
      </c>
      <c r="E34" s="100" t="e">
        <f>HLOOKUP(E$11,Data!$B$59:$P$85,24,FALSE)/(HLOOKUP(E$11,Data!$B$59:$P$67,7,FALSE)+HLOOKUP(E$11,Data!$B$59:$P$67,8,FALSE)+HLOOKUP(E$11,Data!$B$59:$P$67,9,FALSE))</f>
        <v>#DIV/0!</v>
      </c>
      <c r="F34" s="100" t="e">
        <f>HLOOKUP(F$11,Data!$B$59:$P$85,24,FALSE)/(HLOOKUP(F$11,Data!$B$59:$P$67,7,FALSE)+HLOOKUP(F$11,Data!$B$59:$P$67,8,FALSE)+HLOOKUP(F$11,Data!$B$59:$P$67,9,FALSE))</f>
        <v>#DIV/0!</v>
      </c>
      <c r="G34" s="103">
        <f>HLOOKUP(G$11,Data!$B$59:$P$85,24,FALSE)/(HLOOKUP(G$11,Data!$B$59:$P$67,7,FALSE)+HLOOKUP(G$11,Data!$B$59:$P$67,8,FALSE)+HLOOKUP(G$11,Data!$B$59:$P$67,9,FALSE))</f>
        <v>6.7712758605531593E-3</v>
      </c>
      <c r="H34" s="97">
        <f>HLOOKUP(D$11,Data!$B$59:$P$85,24,FALSE)</f>
        <v>0</v>
      </c>
      <c r="I34" s="72" t="s">
        <v>218</v>
      </c>
    </row>
    <row r="35" spans="1:9" x14ac:dyDescent="0.25">
      <c r="A35" s="155" t="s">
        <v>101</v>
      </c>
      <c r="B35" s="102" t="s">
        <v>55</v>
      </c>
      <c r="C35" s="99" t="str">
        <f>IF(HLOOKUP($D$7,$D$11:$G$71,25,FALSE)=0,"n/a",IF(D35/HLOOKUP($D$7,$D$11:$G$37,25,FALSE)&gt;Control_Panel!$I$53,"Much Higher",IF(D35/HLOOKUP($D$7,$D$11:$G$37,25,FALSE)&gt;Control_Panel!$H$53,"Higher",IF(D35/HLOOKUP($D$7,$D$11:$G$37,25,FALSE)&gt;Control_Panel!$G$53,"Slightly Higher",IF(D35/HLOOKUP($D$7,$D$11:$G$37,25,FALSE)&lt;Control_Panel!$J$53,"Lower"," ")))))</f>
        <v>Lower</v>
      </c>
      <c r="D35" s="100">
        <f>HLOOKUP(D$11,Data!$B$59:$P$85,25,FALSE)/(HLOOKUP(D$11,Data!$B$59:$P$67,7,FALSE)+HLOOKUP(D$11,Data!$B$59:$P$67,8,FALSE)+HLOOKUP(D$11,Data!$B$59:$P$67,9,FALSE))</f>
        <v>0</v>
      </c>
      <c r="E35" s="100" t="e">
        <f>HLOOKUP(E$11,Data!$B$59:$P$85,25,FALSE)/(HLOOKUP(E$11,Data!$B$59:$P$67,7,FALSE)+HLOOKUP(E$11,Data!$B$59:$P$67,8,FALSE)+HLOOKUP(E$11,Data!$B$59:$P$67,9,FALSE))</f>
        <v>#DIV/0!</v>
      </c>
      <c r="F35" s="100" t="e">
        <f>HLOOKUP(F$11,Data!$B$59:$P$85,25,FALSE)/(HLOOKUP(F$11,Data!$B$59:$P$67,7,FALSE)+HLOOKUP(F$11,Data!$B$59:$P$67,8,FALSE)+HLOOKUP(F$11,Data!$B$59:$P$67,9,FALSE))</f>
        <v>#DIV/0!</v>
      </c>
      <c r="G35" s="103">
        <f>HLOOKUP(G$11,Data!$B$59:$P$85,25,FALSE)/(HLOOKUP(G$11,Data!$B$59:$P$67,7,FALSE)+HLOOKUP(G$11,Data!$B$59:$P$67,8,FALSE)+HLOOKUP(G$11,Data!$B$59:$P$67,9,FALSE))</f>
        <v>4.9824945264020882E-3</v>
      </c>
      <c r="H35" s="97">
        <f>HLOOKUP(D$11,Data!$B$59:$P$85,25,FALSE)</f>
        <v>0</v>
      </c>
      <c r="I35" s="72" t="s">
        <v>218</v>
      </c>
    </row>
    <row r="36" spans="1:9" x14ac:dyDescent="0.25">
      <c r="A36" s="155" t="s">
        <v>101</v>
      </c>
      <c r="B36" s="102" t="s">
        <v>56</v>
      </c>
      <c r="C36" s="99" t="str">
        <f>IF(HLOOKUP($D$7,$D$11:$G$71,26,FALSE)=0,"n/a",IF(D36/HLOOKUP($D$7,$D$11:$G$37,26,FALSE)&gt;Control_Panel!$I$53,"Much Higher",IF(D36/HLOOKUP($D$7,$D$11:$G$37,26,FALSE)&gt;Control_Panel!$H$53,"Higher",IF(D36/HLOOKUP($D$7,$D$11:$G$37,26,FALSE)&gt;Control_Panel!$G$53,"Slightly Higher",IF(D36/HLOOKUP($D$7,$D$11:$G$37,26,FALSE)&lt;Control_Panel!$J$53,"Lower"," ")))))</f>
        <v>Lower</v>
      </c>
      <c r="D36" s="100">
        <f>HLOOKUP(D$11,Data!$B$59:$P$85,26,FALSE)/(HLOOKUP(D$11,Data!$B$59:$P$67,7,FALSE)+HLOOKUP(D$11,Data!$B$59:$P$67,8,FALSE)+HLOOKUP(D$11,Data!$B$59:$P$67,9,FALSE))</f>
        <v>0</v>
      </c>
      <c r="E36" s="100" t="e">
        <f>HLOOKUP(E$11,Data!$B$59:$P$85,26,FALSE)/(HLOOKUP(E$11,Data!$B$59:$P$67,7,FALSE)+HLOOKUP(E$11,Data!$B$59:$P$67,8,FALSE)+HLOOKUP(E$11,Data!$B$59:$P$67,9,FALSE))</f>
        <v>#DIV/0!</v>
      </c>
      <c r="F36" s="100" t="e">
        <f>HLOOKUP(F$11,Data!$B$59:$P$85,26,FALSE)/(HLOOKUP(F$11,Data!$B$59:$P$67,7,FALSE)+HLOOKUP(F$11,Data!$B$59:$P$67,8,FALSE)+HLOOKUP(F$11,Data!$B$59:$P$67,9,FALSE))</f>
        <v>#DIV/0!</v>
      </c>
      <c r="G36" s="103">
        <f>HLOOKUP(G$11,Data!$B$59:$P$85,26,FALSE)/(HLOOKUP(G$11,Data!$B$59:$P$67,7,FALSE)+HLOOKUP(G$11,Data!$B$59:$P$67,8,FALSE)+HLOOKUP(G$11,Data!$B$59:$P$67,9,FALSE))</f>
        <v>4.3663978747395613E-3</v>
      </c>
      <c r="H36" s="97">
        <f>HLOOKUP(D$11,Data!$B$59:$P$85,26,FALSE)</f>
        <v>0</v>
      </c>
      <c r="I36" s="72" t="s">
        <v>218</v>
      </c>
    </row>
    <row r="37" spans="1:9" ht="15.75" thickBot="1" x14ac:dyDescent="0.3">
      <c r="A37" s="155" t="s">
        <v>101</v>
      </c>
      <c r="B37" s="104" t="s">
        <v>57</v>
      </c>
      <c r="C37" s="105" t="str">
        <f>IF(HLOOKUP($D$7,$D$11:$G$71,27,FALSE)=0,"n/a",IF(D37/HLOOKUP($D$7,$D$11:$G$37,27,FALSE)&gt;Control_Panel!$I$53,"Much Higher",IF(D37/HLOOKUP($D$7,$D$11:$G$37,27,FALSE)&gt;Control_Panel!$H$53,"Higher",IF(D37/HLOOKUP($D$7,$D$11:$G$37,27,FALSE)&gt;Control_Panel!$G$53,"Slightly Higher",IF(D37/HLOOKUP($D$7,$D$11:$G$37,27,FALSE)&lt;Control_Panel!$J$53,"Lower"," ")))))</f>
        <v>Much Higher</v>
      </c>
      <c r="D37" s="106">
        <f>HLOOKUP(D$11,Data!$B$59:$P$85,27,FALSE)/(HLOOKUP(D$11,Data!$B$59:$P$67,7,FALSE)+HLOOKUP(D$11,Data!$B$59:$P$67,8,FALSE)+HLOOKUP(D$11,Data!$B$59:$P$67,9,FALSE))</f>
        <v>2.0080321285140562E-2</v>
      </c>
      <c r="E37" s="106" t="e">
        <f>HLOOKUP(E$11,Data!$B$59:$P$85,27,FALSE)/(HLOOKUP(E$11,Data!$B$59:$P$67,7,FALSE)+HLOOKUP(E$11,Data!$B$59:$P$67,8,FALSE)+HLOOKUP(E$11,Data!$B$59:$P$67,9,FALSE))</f>
        <v>#DIV/0!</v>
      </c>
      <c r="F37" s="106" t="e">
        <f>HLOOKUP(F$11,Data!$B$59:$P$85,27,FALSE)/(HLOOKUP(F$11,Data!$B$59:$P$67,7,FALSE)+HLOOKUP(F$11,Data!$B$59:$P$67,8,FALSE)+HLOOKUP(F$11,Data!$B$59:$P$67,9,FALSE))</f>
        <v>#DIV/0!</v>
      </c>
      <c r="G37" s="107">
        <f>HLOOKUP(G$11,Data!$B$59:$P$85,27,FALSE)/(HLOOKUP(G$11,Data!$B$59:$P$67,7,FALSE)+HLOOKUP(G$11,Data!$B$59:$P$67,8,FALSE)+HLOOKUP(G$11,Data!$B$59:$P$67,9,FALSE))</f>
        <v>1.6905229137000948E-3</v>
      </c>
      <c r="H37" s="98">
        <f>HLOOKUP(D$11,Data!$B$59:$P$85,27,FALSE)</f>
        <v>20</v>
      </c>
      <c r="I37" s="72" t="s">
        <v>218</v>
      </c>
    </row>
    <row r="38" spans="1:9" ht="15.75" thickBot="1" x14ac:dyDescent="0.3">
      <c r="A38" s="155" t="s">
        <v>101</v>
      </c>
      <c r="C38" s="49"/>
      <c r="D38" s="49"/>
      <c r="E38" s="49"/>
      <c r="F38" s="49"/>
      <c r="G38" s="49"/>
      <c r="H38" s="58"/>
    </row>
    <row r="39" spans="1:9" ht="15.75" thickBot="1" x14ac:dyDescent="0.3">
      <c r="A39" s="155" t="s">
        <v>118</v>
      </c>
      <c r="B39" s="101" t="s">
        <v>60</v>
      </c>
      <c r="C39" s="112"/>
      <c r="D39" s="112"/>
      <c r="E39" s="112"/>
      <c r="F39" s="112"/>
      <c r="G39" s="113"/>
      <c r="H39" s="108"/>
    </row>
    <row r="40" spans="1:9" x14ac:dyDescent="0.25">
      <c r="A40" s="155" t="s">
        <v>118</v>
      </c>
      <c r="B40" s="102" t="s">
        <v>61</v>
      </c>
      <c r="C40" s="110" t="s">
        <v>119</v>
      </c>
      <c r="D40" s="111">
        <f>HLOOKUP(D$11,Data!$B$120:$P$153,3,FALSE)</f>
        <v>25180</v>
      </c>
      <c r="E40" s="111">
        <f>HLOOKUP(E$11,Data!$B$120:$P$153,3,FALSE)</f>
        <v>0</v>
      </c>
      <c r="F40" s="111">
        <f>HLOOKUP(F$11,Data!$B$120:$P$153,3,FALSE)</f>
        <v>0</v>
      </c>
      <c r="G40" s="114">
        <f>HLOOKUP(G$11,Data!$B$120:$P$153,3,FALSE)</f>
        <v>53046</v>
      </c>
      <c r="H40" s="109" t="s">
        <v>119</v>
      </c>
    </row>
    <row r="41" spans="1:9" x14ac:dyDescent="0.25">
      <c r="A41" s="155" t="s">
        <v>118</v>
      </c>
      <c r="B41" s="102" t="s">
        <v>62</v>
      </c>
      <c r="C41" s="99" t="str">
        <f>IF(D41-HLOOKUP($D$7,$D$11:$G$71,31,FALSE)&gt;Control_Panel!$I$55,"Much Higher",IF(D41-HLOOKUP($D$7,$D$11:$G$71,31,FALSE)&gt;Control_Panel!$H$55,"Higher",IF(D41-HLOOKUP($D$7,$D$11:$G$71,31,FALSE)&gt;Control_Panel!$G$55,"Slightly Higher",IF(D41-HLOOKUP($D$7,$D$11:$G$71,31,FALSE)&lt;Control_Panel!$J$55,"Lower"," "))))</f>
        <v>Slightly Higher</v>
      </c>
      <c r="D41" s="100">
        <f>HLOOKUP(D$11,Data!$B$120:$P$153,4,FALSE)/HLOOKUP(D$11,Data!$B$120:$P$153,2,FALSE)</f>
        <v>0.43059125964010281</v>
      </c>
      <c r="E41" s="100" t="e">
        <f>HLOOKUP(E$11,Data!$B$120:$P$153,4,FALSE)/HLOOKUP(E$11,Data!$B$120:$P$153,2,FALSE)</f>
        <v>#DIV/0!</v>
      </c>
      <c r="F41" s="100" t="e">
        <f>HLOOKUP(F$11,Data!$B$120:$P$153,4,FALSE)/HLOOKUP(F$11,Data!$B$120:$P$153,2,FALSE)</f>
        <v>#DIV/0!</v>
      </c>
      <c r="G41" s="103">
        <f>HLOOKUP(G$11,Data!$B$120:$P$153,4,FALSE)/HLOOKUP(G$11,Data!$B$120:$P$153,2,FALSE)</f>
        <v>0.35976917939630054</v>
      </c>
      <c r="H41" s="97">
        <f>HLOOKUP(D$11,Data!$B$120:$P$153,4,FALSE)</f>
        <v>670</v>
      </c>
      <c r="I41" s="72" t="s">
        <v>236</v>
      </c>
    </row>
    <row r="42" spans="1:9" x14ac:dyDescent="0.25">
      <c r="A42" s="155" t="s">
        <v>118</v>
      </c>
      <c r="B42" s="102" t="s">
        <v>63</v>
      </c>
      <c r="C42" s="99" t="str">
        <f>IF(D42-HLOOKUP($D$7,$D$11:$G$71,32,FALSE)&gt;Control_Panel!$I$55,"Much Higher",IF(D42-HLOOKUP($D$7,$D$11:$G$71,32,FALSE)&gt;Control_Panel!$H$55,"Higher",IF(D42-HLOOKUP($D$7,$D$11:$G$71,32,FALSE)&gt;Control_Panel!$G$55,"Slightly Higher",IF(D42-HLOOKUP($D$7,$D$11:$G$71,32,FALSE)&lt;Control_Panel!$J$55,"Lower"," "))))</f>
        <v>Higher</v>
      </c>
      <c r="D42" s="100">
        <f>HLOOKUP(D$11,Data!$B$120:$P$153,5,FALSE)/HLOOKUP(D$11,Data!$B$120:$P$153,2,FALSE)</f>
        <v>0.41452442159383035</v>
      </c>
      <c r="E42" s="100" t="e">
        <f>HLOOKUP(E$11,Data!$B$120:$P$153,5,FALSE)/HLOOKUP(E$11,Data!$B$120:$P$153,2,FALSE)</f>
        <v>#DIV/0!</v>
      </c>
      <c r="F42" s="100" t="e">
        <f>HLOOKUP(F$11,Data!$B$120:$P$153,5,FALSE)/HLOOKUP(F$11,Data!$B$120:$P$153,2,FALSE)</f>
        <v>#DIV/0!</v>
      </c>
      <c r="G42" s="103">
        <f>HLOOKUP(G$11,Data!$B$120:$P$153,5,FALSE)/HLOOKUP(G$11,Data!$B$120:$P$153,2,FALSE)</f>
        <v>0.22255277031814177</v>
      </c>
      <c r="H42" s="97">
        <f>HLOOKUP(D$11,Data!$B$120:$P$153,5,FALSE)</f>
        <v>645</v>
      </c>
      <c r="I42" s="72" t="s">
        <v>236</v>
      </c>
    </row>
    <row r="43" spans="1:9" x14ac:dyDescent="0.25">
      <c r="A43" s="155" t="s">
        <v>118</v>
      </c>
      <c r="B43" s="102" t="s">
        <v>64</v>
      </c>
      <c r="C43" s="99" t="str">
        <f>IF(D43-HLOOKUP($D$7,$D$11:$G$71,33,FALSE)&gt;Control_Panel!$I$55,"Much Higher",IF(D43-HLOOKUP($D$7,$D$11:$G$71,33,FALSE)&gt;Control_Panel!$H$55,"Higher",IF(D43-HLOOKUP($D$7,$D$11:$G$71,33,FALSE)&gt;Control_Panel!$G$55,"Slightly Higher",IF(D43-HLOOKUP($D$7,$D$11:$G$71,33,FALSE)&lt;Control_Panel!$J$55,"Lower"," "))))</f>
        <v>Lower</v>
      </c>
      <c r="D43" s="100">
        <f>HLOOKUP(D$11,Data!$B$120:$P$153,6,FALSE)/HLOOKUP(D$11,Data!$B$120:$P$153,2,FALSE)</f>
        <v>1.6066838046272493E-2</v>
      </c>
      <c r="E43" s="100" t="e">
        <f>HLOOKUP(E$11,Data!$B$120:$P$153,6,FALSE)/HLOOKUP(E$11,Data!$B$120:$P$153,2,FALSE)</f>
        <v>#DIV/0!</v>
      </c>
      <c r="F43" s="100" t="e">
        <f>HLOOKUP(F$11,Data!$B$120:$P$153,6,FALSE)/HLOOKUP(F$11,Data!$B$120:$P$153,2,FALSE)</f>
        <v>#DIV/0!</v>
      </c>
      <c r="G43" s="103">
        <f>HLOOKUP(G$11,Data!$B$120:$P$153,6,FALSE)/HLOOKUP(G$11,Data!$B$120:$P$153,2,FALSE)</f>
        <v>0.13721640907815874</v>
      </c>
      <c r="H43" s="97">
        <f>HLOOKUP(D$11,Data!$B$120:$P$153,6,FALSE)</f>
        <v>25</v>
      </c>
      <c r="I43" s="72" t="s">
        <v>236</v>
      </c>
    </row>
    <row r="44" spans="1:9" x14ac:dyDescent="0.25">
      <c r="A44" s="155" t="s">
        <v>118</v>
      </c>
      <c r="B44" s="102" t="s">
        <v>65</v>
      </c>
      <c r="C44" s="99" t="str">
        <f>IF(D44-HLOOKUP($D$7,$D$11:$G$71,34,FALSE)&gt;Control_Panel!$I$55,"Much Higher",IF(D44-HLOOKUP($D$7,$D$11:$G$71,34,FALSE)&gt;Control_Panel!$H$55,"Higher",IF(D44-HLOOKUP($D$7,$D$11:$G$71,34,FALSE)&gt;Control_Panel!$G$55,"Slightly Higher",IF(D44-HLOOKUP($D$7,$D$11:$G$71,34,FALSE)&lt;Control_Panel!$J$55,"Lower"," "))))</f>
        <v xml:space="preserve"> </v>
      </c>
      <c r="D44" s="100">
        <f>HLOOKUP(D$11,Data!$B$120:$P$153,7,FALSE)/HLOOKUP(D$11,Data!$B$120:$P$153,2,FALSE)</f>
        <v>0.12467866323907455</v>
      </c>
      <c r="E44" s="100" t="e">
        <f>HLOOKUP(E$11,Data!$B$120:$P$153,7,FALSE)/HLOOKUP(E$11,Data!$B$120:$P$153,2,FALSE)</f>
        <v>#DIV/0!</v>
      </c>
      <c r="F44" s="100" t="e">
        <f>HLOOKUP(F$11,Data!$B$120:$P$153,7,FALSE)/HLOOKUP(F$11,Data!$B$120:$P$153,2,FALSE)</f>
        <v>#DIV/0!</v>
      </c>
      <c r="G44" s="103">
        <f>HLOOKUP(G$11,Data!$B$120:$P$153,7,FALSE)/HLOOKUP(G$11,Data!$B$120:$P$153,2,FALSE)</f>
        <v>8.8635090297828456E-2</v>
      </c>
      <c r="H44" s="97">
        <f>HLOOKUP(D$11,Data!$B$120:$P$153,7,FALSE)</f>
        <v>194</v>
      </c>
      <c r="I44" s="72" t="s">
        <v>236</v>
      </c>
    </row>
    <row r="45" spans="1:9" x14ac:dyDescent="0.25">
      <c r="A45" s="155" t="s">
        <v>118</v>
      </c>
      <c r="B45" s="102" t="s">
        <v>66</v>
      </c>
      <c r="C45" s="99" t="str">
        <f>IF(D45-HLOOKUP($D$7,$D$11:$G$71,35,FALSE)&gt;Control_Panel!$I$55,"Much Higher",IF(D45-HLOOKUP($D$7,$D$11:$G$71,35,FALSE)&gt;Control_Panel!$H$55,"Higher",IF(D45-HLOOKUP($D$7,$D$11:$G$71,35,FALSE)&gt;Control_Panel!$G$55,"Slightly Higher",IF(D45-HLOOKUP($D$7,$D$11:$G$71,35,FALSE)&lt;Control_Panel!$J$55,"Lower"," "))))</f>
        <v>Lower</v>
      </c>
      <c r="D45" s="100">
        <f>HLOOKUP(D$11,Data!$B$120:$P$153,8,FALSE)/HLOOKUP(D$11,Data!$B$120:$P$153,2,FALSE)</f>
        <v>8.9974293059125968E-3</v>
      </c>
      <c r="E45" s="100" t="e">
        <f>HLOOKUP(E$11,Data!$B$120:$P$153,8,FALSE)/HLOOKUP(E$11,Data!$B$120:$P$153,2,FALSE)</f>
        <v>#DIV/0!</v>
      </c>
      <c r="F45" s="100" t="e">
        <f>HLOOKUP(F$11,Data!$B$120:$P$153,8,FALSE)/HLOOKUP(F$11,Data!$B$120:$P$153,2,FALSE)</f>
        <v>#DIV/0!</v>
      </c>
      <c r="G45" s="103">
        <f>HLOOKUP(G$11,Data!$B$120:$P$153,8,FALSE)/HLOOKUP(G$11,Data!$B$120:$P$153,2,FALSE)</f>
        <v>0.1051750529360348</v>
      </c>
      <c r="H45" s="97">
        <f>HLOOKUP(D$11,Data!$B$120:$P$153,8,FALSE)</f>
        <v>14</v>
      </c>
      <c r="I45" s="72" t="s">
        <v>236</v>
      </c>
    </row>
    <row r="46" spans="1:9" x14ac:dyDescent="0.25">
      <c r="A46" s="155" t="s">
        <v>118</v>
      </c>
      <c r="B46" s="102" t="s">
        <v>67</v>
      </c>
      <c r="C46" s="99" t="str">
        <f>IF(D46-HLOOKUP($D$7,$D$11:$G$71,36,FALSE)&gt;Control_Panel!$I$55,"Much Higher",IF(D46-HLOOKUP($D$7,$D$11:$G$71,36,FALSE)&gt;Control_Panel!$H$55,"Higher",IF(D46-HLOOKUP($D$7,$D$11:$G$71,36,FALSE)&gt;Control_Panel!$G$55,"Slightly Higher",IF(D46-HLOOKUP($D$7,$D$11:$G$71,36,FALSE)&lt;Control_Panel!$J$55,"Lower"," "))))</f>
        <v>Higher</v>
      </c>
      <c r="D46" s="100">
        <f>HLOOKUP(D$11,Data!$B$120:$P$153,9,FALSE)/HLOOKUP(D$11,Data!$B$120:$P$153,2,FALSE)</f>
        <v>0.28984575835475579</v>
      </c>
      <c r="E46" s="100" t="e">
        <f>HLOOKUP(E$11,Data!$B$120:$P$153,9,FALSE)/HLOOKUP(E$11,Data!$B$120:$P$153,2,FALSE)</f>
        <v>#DIV/0!</v>
      </c>
      <c r="F46" s="100" t="e">
        <f>HLOOKUP(F$11,Data!$B$120:$P$153,9,FALSE)/HLOOKUP(F$11,Data!$B$120:$P$153,2,FALSE)</f>
        <v>#DIV/0!</v>
      </c>
      <c r="G46" s="103">
        <f>HLOOKUP(G$11,Data!$B$120:$P$153,9,FALSE)/HLOOKUP(G$11,Data!$B$120:$P$153,2,FALSE)</f>
        <v>0.13391768002031332</v>
      </c>
      <c r="H46" s="97">
        <f>HLOOKUP(D$11,Data!$B$120:$P$153,9,FALSE)</f>
        <v>451</v>
      </c>
      <c r="I46" s="72" t="s">
        <v>236</v>
      </c>
    </row>
    <row r="47" spans="1:9" x14ac:dyDescent="0.25">
      <c r="A47" s="155" t="s">
        <v>118</v>
      </c>
      <c r="B47" s="102" t="s">
        <v>68</v>
      </c>
      <c r="C47" s="99" t="str">
        <f>IF(D47-HLOOKUP($D$7,$D$11:$G$71,37,FALSE)&gt;Control_Panel!$I$55,"Much Higher",IF(D47-HLOOKUP($D$7,$D$11:$G$71,37,FALSE)&gt;Control_Panel!$H$55,"Higher",IF(D47-HLOOKUP($D$7,$D$11:$G$71,37,FALSE)&gt;Control_Panel!$G$55,"Slightly Higher",IF(D47-HLOOKUP($D$7,$D$11:$G$71,37,FALSE)&lt;Control_Panel!$J$55,"Lower"," "))))</f>
        <v xml:space="preserve"> </v>
      </c>
      <c r="D47" s="100">
        <f>HLOOKUP(D$11,Data!$B$120:$P$153,10,FALSE)/HLOOKUP(D$11,Data!$B$120:$P$153,2,FALSE)</f>
        <v>7.0694087403598968E-3</v>
      </c>
      <c r="E47" s="100" t="e">
        <f>HLOOKUP(E$11,Data!$B$120:$P$153,10,FALSE)/HLOOKUP(E$11,Data!$B$120:$P$153,2,FALSE)</f>
        <v>#DIV/0!</v>
      </c>
      <c r="F47" s="100" t="e">
        <f>HLOOKUP(F$11,Data!$B$120:$P$153,10,FALSE)/HLOOKUP(F$11,Data!$B$120:$P$153,2,FALSE)</f>
        <v>#DIV/0!</v>
      </c>
      <c r="G47" s="103">
        <f>HLOOKUP(G$11,Data!$B$120:$P$153,10,FALSE)/HLOOKUP(G$11,Data!$B$120:$P$153,2,FALSE)</f>
        <v>3.2041356142123945E-2</v>
      </c>
      <c r="H47" s="97">
        <f>HLOOKUP(D$11,Data!$B$120:$P$153,10,FALSE)</f>
        <v>11</v>
      </c>
      <c r="I47" s="72" t="s">
        <v>236</v>
      </c>
    </row>
    <row r="48" spans="1:9" x14ac:dyDescent="0.25">
      <c r="A48" s="155" t="s">
        <v>118</v>
      </c>
      <c r="B48" s="64" t="s">
        <v>59</v>
      </c>
      <c r="C48" s="99"/>
      <c r="D48" s="100"/>
      <c r="E48" s="100"/>
      <c r="F48" s="100"/>
      <c r="G48" s="103"/>
      <c r="H48" s="97"/>
      <c r="I48" s="72"/>
    </row>
    <row r="49" spans="1:9" x14ac:dyDescent="0.25">
      <c r="A49" s="155" t="s">
        <v>118</v>
      </c>
      <c r="B49" s="102" t="s">
        <v>69</v>
      </c>
      <c r="C49" s="99" t="str">
        <f>IF(HLOOKUP($D$7,$D$11:$G$71,39,FALSE)=0,"n/a",IF(D49/HLOOKUP($D$7,$D$11:$G$71,39,FALSE)&gt;Control_Panel!$I$56,"Much Higher",IF(D49/HLOOKUP($D$7,$D$11:$G$71,39,FALSE)&gt;Control_Panel!$H$56,"Higher",IF(D49/HLOOKUP($D$7,$D$11:$G$71,39,FALSE)&gt;Control_Panel!$G$56,"Slightly Higher",IF(D49/HLOOKUP($D$7,$D$11:$G$71,39,FALSE)&lt;Control_Panel!$J$56,"Lower"," ")))))</f>
        <v>Much Higher</v>
      </c>
      <c r="D49" s="100">
        <f>HLOOKUP(D$11,Data!$B$120:$P$153,12,FALSE)/(HLOOKUP(D$11,Data!$B$59:$P$67,4,FALSE)+HLOOKUP(D$11,Data!$B$59:$P$67,5,FALSE)+HLOOKUP(D$11,Data!$B$59:$P$67,6,FALSE))</f>
        <v>5.3571428571428568E-2</v>
      </c>
      <c r="E49" s="100" t="e">
        <f>HLOOKUP(E$11,Data!$B$120:$P$153,12,FALSE)/(HLOOKUP(E$11,Data!$B$59:$P$67,4,FALSE)+HLOOKUP(E$11,Data!$B$59:$P$67,5,FALSE)+HLOOKUP(E$11,Data!$B$59:$P$67,6,FALSE))</f>
        <v>#DIV/0!</v>
      </c>
      <c r="F49" s="100" t="e">
        <f>HLOOKUP(F$11,Data!$B$120:$P$153,12,FALSE)/(HLOOKUP(F$11,Data!$B$59:$P$67,4,FALSE)+HLOOKUP(F$11,Data!$B$59:$P$67,5,FALSE)+HLOOKUP(F$11,Data!$B$59:$P$67,6,FALSE))</f>
        <v>#DIV/0!</v>
      </c>
      <c r="G49" s="103">
        <f>HLOOKUP(G$11,Data!$B$120:$P$153,12,FALSE)/(HLOOKUP(G$11,Data!$B$59:$P$67,4,FALSE)+HLOOKUP(G$11,Data!$B$59:$P$67,5,FALSE)+HLOOKUP(G$11,Data!$B$59:$P$67,6,FALSE))</f>
        <v>9.8729329923068748E-3</v>
      </c>
      <c r="H49" s="97">
        <f>HLOOKUP(D$11,Data!$B$120:$P$153,12,FALSE)</f>
        <v>30</v>
      </c>
      <c r="I49" s="72" t="s">
        <v>217</v>
      </c>
    </row>
    <row r="50" spans="1:9" x14ac:dyDescent="0.25">
      <c r="A50" s="155" t="s">
        <v>118</v>
      </c>
      <c r="B50" s="102" t="s">
        <v>70</v>
      </c>
      <c r="C50" s="99" t="str">
        <f>IF(HLOOKUP($D$7,$D$11:$G$71,40,FALSE)=0,"n/a",IF(D50/HLOOKUP($D$7,$D$11:$G$71,40,FALSE)&gt;Control_Panel!$I$56,"Much Higher",IF(D50/HLOOKUP($D$7,$D$11:$G$71,40,FALSE)&gt;Control_Panel!$H$56,"Higher",IF(D50/HLOOKUP($D$7,$D$11:$G$71,40,FALSE)&gt;Control_Panel!$G$56,"Slightly Higher",IF(D50/HLOOKUP($D$7,$D$11:$G$71,40,FALSE)&lt;Control_Panel!$J$56,"Lower"," ")))))</f>
        <v>Much Higher</v>
      </c>
      <c r="D50" s="100">
        <f>HLOOKUP(D$11,Data!$B$120:$P$153,13,FALSE)/(HLOOKUP(D$11,Data!$B$59:$P$67,4,FALSE)+HLOOKUP(D$11,Data!$B$59:$P$67,5,FALSE)+HLOOKUP(D$11,Data!$B$59:$P$67,6,FALSE))</f>
        <v>8.0357142857142863E-2</v>
      </c>
      <c r="E50" s="100" t="e">
        <f>HLOOKUP(E$11,Data!$B$120:$P$153,13,FALSE)/(HLOOKUP(E$11,Data!$B$59:$P$67,4,FALSE)+HLOOKUP(E$11,Data!$B$59:$P$67,5,FALSE)+HLOOKUP(E$11,Data!$B$59:$P$67,6,FALSE))</f>
        <v>#DIV/0!</v>
      </c>
      <c r="F50" s="100" t="e">
        <f>HLOOKUP(F$11,Data!$B$120:$P$153,13,FALSE)/(HLOOKUP(F$11,Data!$B$59:$P$67,4,FALSE)+HLOOKUP(F$11,Data!$B$59:$P$67,5,FALSE)+HLOOKUP(F$11,Data!$B$59:$P$67,6,FALSE))</f>
        <v>#DIV/0!</v>
      </c>
      <c r="G50" s="103">
        <f>HLOOKUP(G$11,Data!$B$120:$P$153,13,FALSE)/(HLOOKUP(G$11,Data!$B$59:$P$67,4,FALSE)+HLOOKUP(G$11,Data!$B$59:$P$67,5,FALSE)+HLOOKUP(G$11,Data!$B$59:$P$67,6,FALSE))</f>
        <v>2.1645059782410627E-2</v>
      </c>
      <c r="H50" s="97">
        <f>HLOOKUP(D$11,Data!$B$120:$P$153,13,FALSE)</f>
        <v>45</v>
      </c>
      <c r="I50" s="72" t="s">
        <v>217</v>
      </c>
    </row>
    <row r="51" spans="1:9" x14ac:dyDescent="0.25">
      <c r="A51" s="155" t="s">
        <v>118</v>
      </c>
      <c r="B51" s="102" t="s">
        <v>71</v>
      </c>
      <c r="C51" s="99" t="str">
        <f>IF(HLOOKUP($D$7,$D$11:$G$71,41,FALSE)=0,"n/a",IF(D51/HLOOKUP($D$7,$D$11:$G$71,41,FALSE)&gt;Control_Panel!$I$56,"Much Higher",IF(D51/HLOOKUP($D$7,$D$11:$G$71,41,FALSE)&gt;Control_Panel!$H$56,"Higher",IF(D51/HLOOKUP($D$7,$D$11:$G$71,41,FALSE)&gt;Control_Panel!$G$56,"Slightly Higher",IF(D51/HLOOKUP($D$7,$D$11:$G$71,41,FALSE)&lt;Control_Panel!$J$56,"Lower"," ")))))</f>
        <v>Much Higher</v>
      </c>
      <c r="D51" s="100">
        <f>HLOOKUP(D$11,Data!$B$120:$P$153,14,FALSE)/(HLOOKUP(D$11,Data!$B$59:$P$67,4,FALSE)+HLOOKUP(D$11,Data!$B$59:$P$67,5,FALSE)+HLOOKUP(D$11,Data!$B$59:$P$67,6,FALSE))</f>
        <v>0.13392857142857142</v>
      </c>
      <c r="E51" s="100" t="e">
        <f>HLOOKUP(E$11,Data!$B$120:$P$153,14,FALSE)/(HLOOKUP(E$11,Data!$B$59:$P$67,4,FALSE)+HLOOKUP(E$11,Data!$B$59:$P$67,5,FALSE)+HLOOKUP(E$11,Data!$B$59:$P$67,6,FALSE))</f>
        <v>#DIV/0!</v>
      </c>
      <c r="F51" s="100" t="e">
        <f>HLOOKUP(F$11,Data!$B$120:$P$153,14,FALSE)/(HLOOKUP(F$11,Data!$B$59:$P$67,4,FALSE)+HLOOKUP(F$11,Data!$B$59:$P$67,5,FALSE)+HLOOKUP(F$11,Data!$B$59:$P$67,6,FALSE))</f>
        <v>#DIV/0!</v>
      </c>
      <c r="G51" s="103">
        <f>HLOOKUP(G$11,Data!$B$120:$P$153,14,FALSE)/(HLOOKUP(G$11,Data!$B$59:$P$67,4,FALSE)+HLOOKUP(G$11,Data!$B$59:$P$67,5,FALSE)+HLOOKUP(G$11,Data!$B$59:$P$67,6,FALSE))</f>
        <v>3.8911614109255921E-2</v>
      </c>
      <c r="H51" s="97">
        <f>HLOOKUP(D$11,Data!$B$120:$P$153,14,FALSE)</f>
        <v>75</v>
      </c>
      <c r="I51" s="72" t="s">
        <v>217</v>
      </c>
    </row>
    <row r="52" spans="1:9" x14ac:dyDescent="0.25">
      <c r="A52" s="155" t="s">
        <v>118</v>
      </c>
      <c r="B52" s="102" t="s">
        <v>151</v>
      </c>
      <c r="C52" s="99" t="str">
        <f>IF(HLOOKUP($D$7,$D$11:$G$71,42,FALSE)=0,"n/a",IF(D52/HLOOKUP($D$7,$D$11:$G$71,42,FALSE)&gt;Control_Panel!$I$56,"Much Higher",IF(D52/HLOOKUP($D$7,$D$11:$G$71,42,FALSE)&gt;Control_Panel!$H$56,"Higher",IF(D52/HLOOKUP($D$7,$D$11:$G$71,42,FALSE)&gt;Control_Panel!$G$56,"Slightly Higher",IF(D52/HLOOKUP($D$7,$D$11:$G$71,42,FALSE)&lt;Control_Panel!$J$56,"Lower"," ")))))</f>
        <v>Lower</v>
      </c>
      <c r="D52" s="100">
        <f>HLOOKUP(D$11,Data!$B$120:$P$153,15,FALSE)/(HLOOKUP(D$11,Data!$B$59:$P$67,4,FALSE)+HLOOKUP(D$11,Data!$B$59:$P$67,5,FALSE)+HLOOKUP(D$11,Data!$B$59:$P$67,6,FALSE))</f>
        <v>0</v>
      </c>
      <c r="E52" s="100" t="e">
        <f>HLOOKUP(E$11,Data!$B$120:$P$153,15,FALSE)/(HLOOKUP(E$11,Data!$B$59:$P$67,4,FALSE)+HLOOKUP(E$11,Data!$B$59:$P$67,5,FALSE)+HLOOKUP(E$11,Data!$B$59:$P$67,6,FALSE))</f>
        <v>#DIV/0!</v>
      </c>
      <c r="F52" s="100" t="e">
        <f>HLOOKUP(F$11,Data!$B$120:$P$153,15,FALSE)/(HLOOKUP(F$11,Data!$B$59:$P$67,4,FALSE)+HLOOKUP(F$11,Data!$B$59:$P$67,5,FALSE)+HLOOKUP(F$11,Data!$B$59:$P$67,6,FALSE))</f>
        <v>#DIV/0!</v>
      </c>
      <c r="G52" s="103">
        <f>HLOOKUP(G$11,Data!$B$120:$P$153,15,FALSE)/(HLOOKUP(G$11,Data!$B$59:$P$67,4,FALSE)+HLOOKUP(G$11,Data!$B$59:$P$67,5,FALSE)+HLOOKUP(G$11,Data!$B$59:$P$67,6,FALSE))</f>
        <v>2.6290838081660061E-2</v>
      </c>
      <c r="H52" s="97">
        <f>HLOOKUP(D$11,Data!$B$120:$P$153,15,FALSE)</f>
        <v>0</v>
      </c>
      <c r="I52" s="72" t="s">
        <v>217</v>
      </c>
    </row>
    <row r="53" spans="1:9" x14ac:dyDescent="0.25">
      <c r="A53" s="155" t="s">
        <v>118</v>
      </c>
      <c r="B53" s="102" t="s">
        <v>72</v>
      </c>
      <c r="C53" s="99" t="str">
        <f>IF(HLOOKUP($D$7,$D$11:$G$71,43,FALSE)=0,"n/a",IF(D53/HLOOKUP($D$7,$D$11:$G$71,43,FALSE)&gt;Control_Panel!$I$56,"Much Higher",IF(D53/HLOOKUP($D$7,$D$11:$G$71,43,FALSE)&gt;Control_Panel!$H$56,"Higher",IF(D53/HLOOKUP($D$7,$D$11:$G$71,43,FALSE)&gt;Control_Panel!$G$56,"Slightly Higher",IF(D53/HLOOKUP($D$7,$D$11:$G$71,43,FALSE)&lt;Control_Panel!$J$56,"Lower"," ")))))</f>
        <v>Lower</v>
      </c>
      <c r="D53" s="100">
        <f>HLOOKUP(D$11,Data!$B$120:$P$153,16,FALSE)/(HLOOKUP(D$11,Data!$B$59:$P$67,4,FALSE)+HLOOKUP(D$11,Data!$B$59:$P$67,5,FALSE)+HLOOKUP(D$11,Data!$B$59:$P$67,6,FALSE))</f>
        <v>7.1428571428571426E-3</v>
      </c>
      <c r="E53" s="100" t="e">
        <f>HLOOKUP(E$11,Data!$B$120:$P$153,16,FALSE)/(HLOOKUP(E$11,Data!$B$59:$P$67,4,FALSE)+HLOOKUP(E$11,Data!$B$59:$P$67,5,FALSE)+HLOOKUP(E$11,Data!$B$59:$P$67,6,FALSE))</f>
        <v>#DIV/0!</v>
      </c>
      <c r="F53" s="100" t="e">
        <f>HLOOKUP(F$11,Data!$B$120:$P$153,16,FALSE)/(HLOOKUP(F$11,Data!$B$59:$P$67,4,FALSE)+HLOOKUP(F$11,Data!$B$59:$P$67,5,FALSE)+HLOOKUP(F$11,Data!$B$59:$P$67,6,FALSE))</f>
        <v>#DIV/0!</v>
      </c>
      <c r="G53" s="103">
        <f>HLOOKUP(G$11,Data!$B$120:$P$153,16,FALSE)/(HLOOKUP(G$11,Data!$B$59:$P$67,4,FALSE)+HLOOKUP(G$11,Data!$B$59:$P$67,5,FALSE)+HLOOKUP(G$11,Data!$B$59:$P$67,6,FALSE))</f>
        <v>3.7763168864201432E-2</v>
      </c>
      <c r="H53" s="97">
        <f>HLOOKUP(D$11,Data!$B$120:$P$153,16,FALSE)</f>
        <v>4</v>
      </c>
      <c r="I53" s="72" t="s">
        <v>217</v>
      </c>
    </row>
    <row r="54" spans="1:9" x14ac:dyDescent="0.25">
      <c r="A54" s="155" t="s">
        <v>118</v>
      </c>
      <c r="B54" s="102" t="s">
        <v>73</v>
      </c>
      <c r="C54" s="99" t="str">
        <f>IF(HLOOKUP($D$7,$D$11:$G$71,44,FALSE)=0,"n/a",IF(D54/HLOOKUP($D$7,$D$11:$G$71,44,FALSE)&gt;Control_Panel!$I$56,"Much Higher",IF(D54/HLOOKUP($D$7,$D$11:$G$71,44,FALSE)&gt;Control_Panel!$H$56,"Higher",IF(D54/HLOOKUP($D$7,$D$11:$G$71,44,FALSE)&gt;Control_Panel!$G$56,"Slightly Higher",IF(D54/HLOOKUP($D$7,$D$11:$G$71,44,FALSE)&lt;Control_Panel!$J$56,"Lower"," ")))))</f>
        <v>Higher</v>
      </c>
      <c r="D54" s="100">
        <f>HLOOKUP(D$11,Data!$B$120:$P$153,17,FALSE)/(HLOOKUP(D$11,Data!$B$59:$P$67,4,FALSE)+HLOOKUP(D$11,Data!$B$59:$P$67,5,FALSE)+HLOOKUP(D$11,Data!$B$59:$P$67,6,FALSE))</f>
        <v>5.3571428571428568E-2</v>
      </c>
      <c r="E54" s="100" t="e">
        <f>HLOOKUP(E$11,Data!$B$120:$P$153,17,FALSE)/(HLOOKUP(E$11,Data!$B$59:$P$67,4,FALSE)+HLOOKUP(E$11,Data!$B$59:$P$67,5,FALSE)+HLOOKUP(E$11,Data!$B$59:$P$67,6,FALSE))</f>
        <v>#DIV/0!</v>
      </c>
      <c r="F54" s="100" t="e">
        <f>HLOOKUP(F$11,Data!$B$120:$P$153,17,FALSE)/(HLOOKUP(F$11,Data!$B$59:$P$67,4,FALSE)+HLOOKUP(F$11,Data!$B$59:$P$67,5,FALSE)+HLOOKUP(F$11,Data!$B$59:$P$67,6,FALSE))</f>
        <v>#DIV/0!</v>
      </c>
      <c r="G54" s="103">
        <f>HLOOKUP(G$11,Data!$B$120:$P$153,17,FALSE)/(HLOOKUP(G$11,Data!$B$59:$P$67,4,FALSE)+HLOOKUP(G$11,Data!$B$59:$P$67,5,FALSE)+HLOOKUP(G$11,Data!$B$59:$P$67,6,FALSE))</f>
        <v>2.8613826589219231E-2</v>
      </c>
      <c r="H54" s="97">
        <f>HLOOKUP(D$11,Data!$B$120:$P$153,17,FALSE)</f>
        <v>30</v>
      </c>
      <c r="I54" s="72" t="s">
        <v>217</v>
      </c>
    </row>
    <row r="55" spans="1:9" x14ac:dyDescent="0.25">
      <c r="A55" s="155" t="s">
        <v>118</v>
      </c>
      <c r="B55" s="102" t="s">
        <v>74</v>
      </c>
      <c r="C55" s="99" t="str">
        <f>IF(HLOOKUP($D$7,$D$11:$G$71,45,FALSE)=0,"n/a",IF(D55/HLOOKUP($D$7,$D$11:$G$71,45,FALSE)&gt;Control_Panel!$I$56,"Much Higher",IF(D55/HLOOKUP($D$7,$D$11:$G$71,45,FALSE)&gt;Control_Panel!$H$56,"Higher",IF(D55/HLOOKUP($D$7,$D$11:$G$71,45,FALSE)&gt;Control_Panel!$G$56,"Slightly Higher",IF(D55/HLOOKUP($D$7,$D$11:$G$71,45,FALSE)&lt;Control_Panel!$J$56,"Lower"," ")))))</f>
        <v>Lower</v>
      </c>
      <c r="D55" s="100">
        <f>HLOOKUP(D$11,Data!$B$120:$P$153,18,FALSE)/(HLOOKUP(D$11,Data!$B$59:$P$67,4,FALSE)+HLOOKUP(D$11,Data!$B$59:$P$67,5,FALSE)+HLOOKUP(D$11,Data!$B$59:$P$67,6,FALSE))</f>
        <v>0</v>
      </c>
      <c r="E55" s="100" t="e">
        <f>HLOOKUP(E$11,Data!$B$120:$P$153,18,FALSE)/(HLOOKUP(E$11,Data!$B$59:$P$67,4,FALSE)+HLOOKUP(E$11,Data!$B$59:$P$67,5,FALSE)+HLOOKUP(E$11,Data!$B$59:$P$67,6,FALSE))</f>
        <v>#DIV/0!</v>
      </c>
      <c r="F55" s="100" t="e">
        <f>HLOOKUP(F$11,Data!$B$120:$P$153,18,FALSE)/(HLOOKUP(F$11,Data!$B$59:$P$67,4,FALSE)+HLOOKUP(F$11,Data!$B$59:$P$67,5,FALSE)+HLOOKUP(F$11,Data!$B$59:$P$67,6,FALSE))</f>
        <v>#DIV/0!</v>
      </c>
      <c r="G55" s="103">
        <f>HLOOKUP(G$11,Data!$B$120:$P$153,18,FALSE)/(HLOOKUP(G$11,Data!$B$59:$P$67,4,FALSE)+HLOOKUP(G$11,Data!$B$59:$P$67,5,FALSE)+HLOOKUP(G$11,Data!$B$59:$P$67,6,FALSE))</f>
        <v>2.513755741712876E-2</v>
      </c>
      <c r="H55" s="97">
        <f>HLOOKUP(D$11,Data!$B$120:$P$153,18,FALSE)</f>
        <v>0</v>
      </c>
      <c r="I55" s="72" t="s">
        <v>217</v>
      </c>
    </row>
    <row r="56" spans="1:9" x14ac:dyDescent="0.25">
      <c r="A56" s="155" t="s">
        <v>118</v>
      </c>
      <c r="B56" s="102" t="s">
        <v>152</v>
      </c>
      <c r="C56" s="99" t="str">
        <f>IF(HLOOKUP($D$7,$D$11:$G$71,46,FALSE)=0,"n/a",IF(D56/HLOOKUP($D$7,$D$11:$G$71,46,FALSE)&gt;Control_Panel!$I$56,"Much Higher",IF(D56/HLOOKUP($D$7,$D$11:$G$71,46,FALSE)&gt;Control_Panel!$H$56,"Higher",IF(D56/HLOOKUP($D$7,$D$11:$G$71,46,FALSE)&gt;Control_Panel!$G$56,"Slightly Higher",IF(D56/HLOOKUP($D$7,$D$11:$G$71,46,FALSE)&lt;Control_Panel!$J$56,"Lower"," ")))))</f>
        <v>Lower</v>
      </c>
      <c r="D56" s="100">
        <f>HLOOKUP(D$11,Data!$B$120:$P$153,19,FALSE)/(HLOOKUP(D$11,Data!$B$59:$P$67,4,FALSE)+HLOOKUP(D$11,Data!$B$59:$P$67,5,FALSE)+HLOOKUP(D$11,Data!$B$59:$P$67,6,FALSE))</f>
        <v>0</v>
      </c>
      <c r="E56" s="100" t="e">
        <f>HLOOKUP(E$11,Data!$B$120:$P$153,19,FALSE)/(HLOOKUP(E$11,Data!$B$59:$P$67,4,FALSE)+HLOOKUP(E$11,Data!$B$59:$P$67,5,FALSE)+HLOOKUP(E$11,Data!$B$59:$P$67,6,FALSE))</f>
        <v>#DIV/0!</v>
      </c>
      <c r="F56" s="100" t="e">
        <f>HLOOKUP(F$11,Data!$B$120:$P$153,19,FALSE)/(HLOOKUP(F$11,Data!$B$59:$P$67,4,FALSE)+HLOOKUP(F$11,Data!$B$59:$P$67,5,FALSE)+HLOOKUP(F$11,Data!$B$59:$P$67,6,FALSE))</f>
        <v>#DIV/0!</v>
      </c>
      <c r="G56" s="103">
        <f>HLOOKUP(G$11,Data!$B$120:$P$153,19,FALSE)/(HLOOKUP(G$11,Data!$B$59:$P$67,4,FALSE)+HLOOKUP(G$11,Data!$B$59:$P$67,5,FALSE)+HLOOKUP(G$11,Data!$B$59:$P$67,6,FALSE))</f>
        <v>8.5107357109280787E-3</v>
      </c>
      <c r="H56" s="97">
        <f>HLOOKUP(D$11,Data!$B$120:$P$153,19,FALSE)</f>
        <v>0</v>
      </c>
      <c r="I56" s="72" t="s">
        <v>217</v>
      </c>
    </row>
    <row r="57" spans="1:9" x14ac:dyDescent="0.25">
      <c r="A57" s="155" t="s">
        <v>118</v>
      </c>
      <c r="B57" s="115" t="s">
        <v>237</v>
      </c>
      <c r="C57" s="99" t="str">
        <f>IF(D57-HLOOKUP($D$7,$D$11:$G$71,47,FALSE)&gt;Control_Panel!$I$58,"Much Higher",IF(D57-HLOOKUP($D$7,$D$11:$G$71,47,FALSE)&gt;Control_Panel!$H$58,"Higher",IF(D57-HLOOKUP($D$7,$D$11:$G$71,47,FALSE)&gt;Control_Panel!$G$58,"Slightly Higher",IF(D57-HLOOKUP($D$7,$D$11:$G$71,47,FALSE)&lt;Control_Panel!$J$58,"Lower"," "))))</f>
        <v>Lower</v>
      </c>
      <c r="D57" s="100">
        <f>HLOOKUP(D$11,Data!$B$120:$P$153,20,FALSE)/(HLOOKUP(D$11,Data!$B$59:$P$67,4,FALSE)+HLOOKUP(D$11,Data!$B$59:$P$67,5,FALSE)+HLOOKUP(D$11,Data!$B$59:$P$67,6,FALSE))</f>
        <v>0.7767857142857143</v>
      </c>
      <c r="E57" s="100" t="e">
        <f>HLOOKUP(E$11,Data!$B$120:$P$153,20,FALSE)/(HLOOKUP(E$11,Data!$B$59:$P$67,4,FALSE)+HLOOKUP(E$11,Data!$B$59:$P$67,5,FALSE)+HLOOKUP(E$11,Data!$B$59:$P$67,6,FALSE))</f>
        <v>#DIV/0!</v>
      </c>
      <c r="F57" s="100" t="e">
        <f>HLOOKUP(F$11,Data!$B$120:$P$153,20,FALSE)/(HLOOKUP(F$11,Data!$B$59:$P$67,4,FALSE)+HLOOKUP(F$11,Data!$B$59:$P$67,5,FALSE)+HLOOKUP(F$11,Data!$B$59:$P$67,6,FALSE))</f>
        <v>#DIV/0!</v>
      </c>
      <c r="G57" s="103">
        <f>HLOOKUP(G$11,Data!$B$120:$P$153,20,FALSE)/(HLOOKUP(G$11,Data!$B$59:$P$67,4,FALSE)+HLOOKUP(G$11,Data!$B$59:$P$67,5,FALSE)+HLOOKUP(G$11,Data!$B$59:$P$67,6,FALSE))</f>
        <v>0.92587719245370925</v>
      </c>
      <c r="H57" s="97">
        <f>HLOOKUP(D$11,Data!$B$120:$P$153,20,FALSE)</f>
        <v>435</v>
      </c>
      <c r="I57" s="72" t="s">
        <v>217</v>
      </c>
    </row>
    <row r="58" spans="1:9" x14ac:dyDescent="0.25">
      <c r="A58" s="155" t="s">
        <v>118</v>
      </c>
      <c r="B58" s="115" t="s">
        <v>238</v>
      </c>
      <c r="C58" s="99" t="str">
        <f>IF(D58-HLOOKUP($D$7,$D$11:$G$71,48,FALSE)&gt;Control_Panel!$I$58,"Much Higher",IF(D58-HLOOKUP($D$7,$D$11:$G$71,48,FALSE)&gt;Control_Panel!$H$58,"Higher",IF(D58-HLOOKUP($D$7,$D$11:$G$71,48,FALSE)&gt;Control_Panel!$G$58,"Slightly Higher",IF(D58-HLOOKUP($D$7,$D$11:$G$71,48,FALSE)&lt;Control_Panel!$J$58,"Lower"," "))))</f>
        <v>Lower</v>
      </c>
      <c r="D58" s="100">
        <f>HLOOKUP(D$11,Data!$B$120:$P$153,21,FALSE)/(HLOOKUP(D$11,Data!$B$59:$P$67,4,FALSE)+HLOOKUP(D$11,Data!$B$59:$P$67,5,FALSE)+HLOOKUP(D$11,Data!$B$59:$P$67,6,FALSE))</f>
        <v>0.44821428571428573</v>
      </c>
      <c r="E58" s="100" t="e">
        <f>HLOOKUP(E$11,Data!$B$120:$P$153,21,FALSE)/(HLOOKUP(E$11,Data!$B$59:$P$67,4,FALSE)+HLOOKUP(E$11,Data!$B$59:$P$67,5,FALSE)+HLOOKUP(E$11,Data!$B$59:$P$67,6,FALSE))</f>
        <v>#DIV/0!</v>
      </c>
      <c r="F58" s="100" t="e">
        <f>HLOOKUP(F$11,Data!$B$120:$P$153,21,FALSE)/(HLOOKUP(F$11,Data!$B$59:$P$67,4,FALSE)+HLOOKUP(F$11,Data!$B$59:$P$67,5,FALSE)+HLOOKUP(F$11,Data!$B$59:$P$67,6,FALSE))</f>
        <v>#DIV/0!</v>
      </c>
      <c r="G58" s="103">
        <f>HLOOKUP(G$11,Data!$B$120:$P$153,21,FALSE)/(HLOOKUP(G$11,Data!$B$59:$P$67,4,FALSE)+HLOOKUP(G$11,Data!$B$59:$P$67,5,FALSE)+HLOOKUP(G$11,Data!$B$59:$P$67,6,FALSE))</f>
        <v>0.79427158055329938</v>
      </c>
      <c r="H58" s="97">
        <f>HLOOKUP(D$11,Data!$B$120:$P$153,21,FALSE)</f>
        <v>251</v>
      </c>
      <c r="I58" s="72" t="s">
        <v>217</v>
      </c>
    </row>
    <row r="59" spans="1:9" x14ac:dyDescent="0.25">
      <c r="A59" s="155" t="s">
        <v>118</v>
      </c>
      <c r="B59" s="115" t="s">
        <v>239</v>
      </c>
      <c r="C59" s="99" t="str">
        <f>IF(D59-HLOOKUP($D$7,$D$11:$G$71,49,FALSE)&gt;Control_Panel!$I$58,"Much Higher",IF(D59-HLOOKUP($D$7,$D$11:$G$71,49,FALSE)&gt;Control_Panel!$H$58,"Higher",IF(D59-HLOOKUP($D$7,$D$11:$G$71,49,FALSE)&gt;Control_Panel!$G$58,"Slightly Higher",IF(D59-HLOOKUP($D$7,$D$11:$G$71,49,FALSE)&lt;Control_Panel!$J$58,"Lower"," "))))</f>
        <v>Lower</v>
      </c>
      <c r="D59" s="100">
        <f>HLOOKUP(D$11,Data!$B$120:$P$153,22,FALSE)/(HLOOKUP(D$11,Data!$B$59:$P$67,4,FALSE)+HLOOKUP(D$11,Data!$B$59:$P$67,5,FALSE)+HLOOKUP(D$11,Data!$B$59:$P$67,6,FALSE))</f>
        <v>0.38571428571428573</v>
      </c>
      <c r="E59" s="100" t="e">
        <f>HLOOKUP(E$11,Data!$B$120:$P$153,22,FALSE)/(HLOOKUP(E$11,Data!$B$59:$P$67,4,FALSE)+HLOOKUP(E$11,Data!$B$59:$P$67,5,FALSE)+HLOOKUP(E$11,Data!$B$59:$P$67,6,FALSE))</f>
        <v>#DIV/0!</v>
      </c>
      <c r="F59" s="100" t="e">
        <f>HLOOKUP(F$11,Data!$B$120:$P$153,22,FALSE)/(HLOOKUP(F$11,Data!$B$59:$P$67,4,FALSE)+HLOOKUP(F$11,Data!$B$59:$P$67,5,FALSE)+HLOOKUP(F$11,Data!$B$59:$P$67,6,FALSE))</f>
        <v>#DIV/0!</v>
      </c>
      <c r="G59" s="103">
        <f>HLOOKUP(G$11,Data!$B$120:$P$153,22,FALSE)/(HLOOKUP(G$11,Data!$B$59:$P$67,4,FALSE)+HLOOKUP(G$11,Data!$B$59:$P$67,5,FALSE)+HLOOKUP(G$11,Data!$B$59:$P$67,6,FALSE))</f>
        <v>0.68638277384593405</v>
      </c>
      <c r="H59" s="97">
        <f>HLOOKUP(D$11,Data!$B$120:$P$153,22,FALSE)</f>
        <v>216</v>
      </c>
      <c r="I59" s="72" t="s">
        <v>217</v>
      </c>
    </row>
    <row r="60" spans="1:9" x14ac:dyDescent="0.25">
      <c r="A60" s="155" t="s">
        <v>118</v>
      </c>
      <c r="B60" s="64" t="s">
        <v>75</v>
      </c>
      <c r="C60" s="99"/>
      <c r="D60" s="100"/>
      <c r="E60" s="100"/>
      <c r="F60" s="100"/>
      <c r="G60" s="103"/>
      <c r="H60" s="97"/>
      <c r="I60" s="72"/>
    </row>
    <row r="61" spans="1:9" x14ac:dyDescent="0.25">
      <c r="A61" s="155" t="s">
        <v>118</v>
      </c>
      <c r="B61" s="102" t="s">
        <v>69</v>
      </c>
      <c r="C61" s="99" t="str">
        <f>IF(HLOOKUP($D$7,$D$11:$G$99,51,FALSE)=0,"n/a",IF(D61/HLOOKUP($D$7,$D$11:$G$99,51,FALSE)&gt;Control_Panel!$I$57,"Much Higher",IF(D61/HLOOKUP($D$7,$D$11:$G$99,51,FALSE)&gt;Control_Panel!$H$57,"Higher",IF(D61/HLOOKUP($D$7,$D$11:$G$99,51,FALSE)&gt;Control_Panel!$G$57,"Slightly Higher",IF(D61/HLOOKUP($D$7,$D$11:$G$99,51,FALSE)&lt;Control_Panel!$J$57,"Lower"," ")))))</f>
        <v>Higher</v>
      </c>
      <c r="D61" s="100">
        <f>HLOOKUP(D$11,Data!$B$120:$P$153,24,FALSE)/(HLOOKUP(D$11,Data!$B$59:$P$67,7,FALSE)+HLOOKUP(D$11,Data!$B$59:$P$67,8,FALSE)+HLOOKUP(D$11,Data!$B$59:$P$67,9,FALSE))</f>
        <v>5.0200803212851405E-2</v>
      </c>
      <c r="E61" s="100" t="e">
        <f>HLOOKUP(E$11,Data!$B$120:$P$153,24,FALSE)/(HLOOKUP(E$11,Data!$B$59:$P$67,7,FALSE)+HLOOKUP(E$11,Data!$B$59:$P$67,8,FALSE)+HLOOKUP(E$11,Data!$B$59:$P$67,9,FALSE))</f>
        <v>#DIV/0!</v>
      </c>
      <c r="F61" s="100" t="e">
        <f>HLOOKUP(F$11,Data!$B$120:$P$153,24,FALSE)/(HLOOKUP(F$11,Data!$B$59:$P$67,7,FALSE)+HLOOKUP(F$11,Data!$B$59:$P$67,8,FALSE)+HLOOKUP(F$11,Data!$B$59:$P$67,9,FALSE))</f>
        <v>#DIV/0!</v>
      </c>
      <c r="G61" s="103">
        <f>HLOOKUP(G$11,Data!$B$120:$P$153,24,FALSE)/(HLOOKUP(G$11,Data!$B$59:$P$67,7,FALSE)+HLOOKUP(G$11,Data!$B$59:$P$67,8,FALSE)+HLOOKUP(G$11,Data!$B$59:$P$67,9,FALSE))</f>
        <v>2.5549579726970421E-2</v>
      </c>
      <c r="H61" s="97">
        <f>HLOOKUP(D$11,Data!$B$120:$P$153,24,FALSE)</f>
        <v>50</v>
      </c>
      <c r="I61" s="72" t="s">
        <v>218</v>
      </c>
    </row>
    <row r="62" spans="1:9" x14ac:dyDescent="0.25">
      <c r="A62" s="155" t="s">
        <v>118</v>
      </c>
      <c r="B62" s="102" t="s">
        <v>70</v>
      </c>
      <c r="C62" s="99" t="str">
        <f>IF(HLOOKUP($D$7,$D$11:$G$99,52,FALSE)=0,"n/a",IF(D62/HLOOKUP($D$7,$D$11:$G$99,52,FALSE)&gt;Control_Panel!$I$57,"Much Higher",IF(D62/HLOOKUP($D$7,$D$11:$G$99,52,FALSE)&gt;Control_Panel!$H$57,"Higher",IF(D62/HLOOKUP($D$7,$D$11:$G$99,52,FALSE)&gt;Control_Panel!$G$57,"Slightly Higher",IF(D62/HLOOKUP($D$7,$D$11:$G$99,52,FALSE)&lt;Control_Panel!$J$57,"Lower"," ")))))</f>
        <v>Much Higher</v>
      </c>
      <c r="D62" s="100">
        <f>HLOOKUP(D$11,Data!$B$120:$P$153,25,FALSE)/(HLOOKUP(D$11,Data!$B$59:$P$67,7,FALSE)+HLOOKUP(D$11,Data!$B$59:$P$67,8,FALSE)+HLOOKUP(D$11,Data!$B$59:$P$67,9,FALSE))</f>
        <v>0.16566265060240964</v>
      </c>
      <c r="E62" s="100" t="e">
        <f>HLOOKUP(E$11,Data!$B$120:$P$153,25,FALSE)/(HLOOKUP(E$11,Data!$B$59:$P$67,7,FALSE)+HLOOKUP(E$11,Data!$B$59:$P$67,8,FALSE)+HLOOKUP(E$11,Data!$B$59:$P$67,9,FALSE))</f>
        <v>#DIV/0!</v>
      </c>
      <c r="F62" s="100" t="e">
        <f>HLOOKUP(F$11,Data!$B$120:$P$153,25,FALSE)/(HLOOKUP(F$11,Data!$B$59:$P$67,7,FALSE)+HLOOKUP(F$11,Data!$B$59:$P$67,8,FALSE)+HLOOKUP(F$11,Data!$B$59:$P$67,9,FALSE))</f>
        <v>#DIV/0!</v>
      </c>
      <c r="G62" s="103">
        <f>HLOOKUP(G$11,Data!$B$120:$P$153,25,FALSE)/(HLOOKUP(G$11,Data!$B$59:$P$67,7,FALSE)+HLOOKUP(G$11,Data!$B$59:$P$67,8,FALSE)+HLOOKUP(G$11,Data!$B$59:$P$67,9,FALSE))</f>
        <v>6.9863624106210082E-2</v>
      </c>
      <c r="H62" s="97">
        <f>HLOOKUP(D$11,Data!$B$120:$P$153,25,FALSE)</f>
        <v>165</v>
      </c>
      <c r="I62" s="72" t="s">
        <v>218</v>
      </c>
    </row>
    <row r="63" spans="1:9" x14ac:dyDescent="0.25">
      <c r="A63" s="155" t="s">
        <v>118</v>
      </c>
      <c r="B63" s="102" t="s">
        <v>71</v>
      </c>
      <c r="C63" s="99" t="str">
        <f>IF(HLOOKUP($D$7,$D$11:$G$99,53,FALSE)=0,"n/a",IF(D63/HLOOKUP($D$7,$D$11:$G$99,53,FALSE)&gt;Control_Panel!$I$57,"Much Higher",IF(D63/HLOOKUP($D$7,$D$11:$G$99,53,FALSE)&gt;Control_Panel!$H$57,"Higher",IF(D63/HLOOKUP($D$7,$D$11:$G$99,53,FALSE)&gt;Control_Panel!$G$57,"Slightly Higher",IF(D63/HLOOKUP($D$7,$D$11:$G$99,53,FALSE)&lt;Control_Panel!$J$57,"Lower"," ")))))</f>
        <v xml:space="preserve"> </v>
      </c>
      <c r="D63" s="100">
        <f>HLOOKUP(D$11,Data!$B$120:$P$153,26,FALSE)/(HLOOKUP(D$11,Data!$B$59:$P$67,7,FALSE)+HLOOKUP(D$11,Data!$B$59:$P$67,8,FALSE)+HLOOKUP(D$11,Data!$B$59:$P$67,9,FALSE))</f>
        <v>7.0281124497991967E-2</v>
      </c>
      <c r="E63" s="100" t="e">
        <f>HLOOKUP(E$11,Data!$B$120:$P$153,26,FALSE)/(HLOOKUP(E$11,Data!$B$59:$P$67,7,FALSE)+HLOOKUP(E$11,Data!$B$59:$P$67,8,FALSE)+HLOOKUP(E$11,Data!$B$59:$P$67,9,FALSE))</f>
        <v>#DIV/0!</v>
      </c>
      <c r="F63" s="100" t="e">
        <f>HLOOKUP(F$11,Data!$B$120:$P$153,26,FALSE)/(HLOOKUP(F$11,Data!$B$59:$P$67,7,FALSE)+HLOOKUP(F$11,Data!$B$59:$P$67,8,FALSE)+HLOOKUP(F$11,Data!$B$59:$P$67,9,FALSE))</f>
        <v>#DIV/0!</v>
      </c>
      <c r="G63" s="103">
        <f>HLOOKUP(G$11,Data!$B$120:$P$153,26,FALSE)/(HLOOKUP(G$11,Data!$B$59:$P$67,7,FALSE)+HLOOKUP(G$11,Data!$B$59:$P$67,8,FALSE)+HLOOKUP(G$11,Data!$B$59:$P$67,9,FALSE))</f>
        <v>7.5620988813863851E-2</v>
      </c>
      <c r="H63" s="97">
        <f>HLOOKUP(D$11,Data!$B$120:$P$153,26,FALSE)</f>
        <v>70</v>
      </c>
      <c r="I63" s="72" t="s">
        <v>218</v>
      </c>
    </row>
    <row r="64" spans="1:9" x14ac:dyDescent="0.25">
      <c r="A64" s="155" t="s">
        <v>118</v>
      </c>
      <c r="B64" s="102" t="s">
        <v>151</v>
      </c>
      <c r="C64" s="99" t="str">
        <f>IF(HLOOKUP($D$7,$D$11:$G$99,54,FALSE)=0,"n/a",IF(D64/HLOOKUP($D$7,$D$11:$G$99,54,FALSE)&gt;Control_Panel!$I$57,"Much Higher",IF(D64/HLOOKUP($D$7,$D$11:$G$99,54,FALSE)&gt;Control_Panel!$H$57,"Higher",IF(D64/HLOOKUP($D$7,$D$11:$G$99,54,FALSE)&gt;Control_Panel!$G$57,"Slightly Higher",IF(D64/HLOOKUP($D$7,$D$11:$G$99,54,FALSE)&lt;Control_Panel!$J$57,"Lower"," ")))))</f>
        <v>Lower</v>
      </c>
      <c r="D64" s="100">
        <f>HLOOKUP(D$11,Data!$B$120:$P$153,27,FALSE)/(HLOOKUP(D$11,Data!$B$59:$P$67,7,FALSE)+HLOOKUP(D$11,Data!$B$59:$P$67,8,FALSE)+HLOOKUP(D$11,Data!$B$59:$P$67,9,FALSE))</f>
        <v>0</v>
      </c>
      <c r="E64" s="100" t="e">
        <f>HLOOKUP(E$11,Data!$B$120:$P$153,27,FALSE)/(HLOOKUP(E$11,Data!$B$59:$P$67,7,FALSE)+HLOOKUP(E$11,Data!$B$59:$P$67,8,FALSE)+HLOOKUP(E$11,Data!$B$59:$P$67,9,FALSE))</f>
        <v>#DIV/0!</v>
      </c>
      <c r="F64" s="100" t="e">
        <f>HLOOKUP(F$11,Data!$B$120:$P$153,27,FALSE)/(HLOOKUP(F$11,Data!$B$59:$P$67,7,FALSE)+HLOOKUP(F$11,Data!$B$59:$P$67,8,FALSE)+HLOOKUP(F$11,Data!$B$59:$P$67,9,FALSE))</f>
        <v>#DIV/0!</v>
      </c>
      <c r="G64" s="103">
        <f>HLOOKUP(G$11,Data!$B$120:$P$153,27,FALSE)/(HLOOKUP(G$11,Data!$B$59:$P$67,7,FALSE)+HLOOKUP(G$11,Data!$B$59:$P$67,8,FALSE)+HLOOKUP(G$11,Data!$B$59:$P$67,9,FALSE))</f>
        <v>1.8120060517122116E-2</v>
      </c>
      <c r="H64" s="97">
        <f>HLOOKUP(D$11,Data!$B$120:$P$153,27,FALSE)</f>
        <v>0</v>
      </c>
      <c r="I64" s="72" t="s">
        <v>218</v>
      </c>
    </row>
    <row r="65" spans="1:9" x14ac:dyDescent="0.25">
      <c r="A65" s="155" t="s">
        <v>118</v>
      </c>
      <c r="B65" s="102" t="s">
        <v>72</v>
      </c>
      <c r="C65" s="99" t="str">
        <f>IF(HLOOKUP($D$7,$D$11:$G$99,55,FALSE)=0,"n/a",IF(D65/HLOOKUP($D$7,$D$11:$G$99,55,FALSE)&gt;Control_Panel!$I$57,"Much Higher",IF(D65/HLOOKUP($D$7,$D$11:$G$99,55,FALSE)&gt;Control_Panel!$H$57,"Higher",IF(D65/HLOOKUP($D$7,$D$11:$G$99,55,FALSE)&gt;Control_Panel!$G$57,"Slightly Higher",IF(D65/HLOOKUP($D$7,$D$11:$G$99,55,FALSE)&lt;Control_Panel!$J$57,"Lower"," ")))))</f>
        <v>Lower</v>
      </c>
      <c r="D65" s="100">
        <f>HLOOKUP(D$11,Data!$B$120:$P$153,28,FALSE)/(HLOOKUP(D$11,Data!$B$59:$P$67,7,FALSE)+HLOOKUP(D$11,Data!$B$59:$P$67,8,FALSE)+HLOOKUP(D$11,Data!$B$59:$P$67,9,FALSE))</f>
        <v>8.0321285140562249E-2</v>
      </c>
      <c r="E65" s="100" t="e">
        <f>HLOOKUP(E$11,Data!$B$120:$P$153,28,FALSE)/(HLOOKUP(E$11,Data!$B$59:$P$67,7,FALSE)+HLOOKUP(E$11,Data!$B$59:$P$67,8,FALSE)+HLOOKUP(E$11,Data!$B$59:$P$67,9,FALSE))</f>
        <v>#DIV/0!</v>
      </c>
      <c r="F65" s="100" t="e">
        <f>HLOOKUP(F$11,Data!$B$120:$P$153,28,FALSE)/(HLOOKUP(F$11,Data!$B$59:$P$67,7,FALSE)+HLOOKUP(F$11,Data!$B$59:$P$67,8,FALSE)+HLOOKUP(F$11,Data!$B$59:$P$67,9,FALSE))</f>
        <v>#DIV/0!</v>
      </c>
      <c r="G65" s="103">
        <f>HLOOKUP(G$11,Data!$B$120:$P$153,28,FALSE)/(HLOOKUP(G$11,Data!$B$59:$P$67,7,FALSE)+HLOOKUP(G$11,Data!$B$59:$P$67,8,FALSE)+HLOOKUP(G$11,Data!$B$59:$P$67,9,FALSE))</f>
        <v>0.14625092795076139</v>
      </c>
      <c r="H65" s="97">
        <f>HLOOKUP(D$11,Data!$B$120:$P$153,28,FALSE)</f>
        <v>80</v>
      </c>
      <c r="I65" s="72" t="s">
        <v>218</v>
      </c>
    </row>
    <row r="66" spans="1:9" x14ac:dyDescent="0.25">
      <c r="A66" s="155" t="s">
        <v>118</v>
      </c>
      <c r="B66" s="102" t="s">
        <v>73</v>
      </c>
      <c r="C66" s="99" t="str">
        <f>IF(HLOOKUP($D$7,$D$11:$G$99,56,FALSE)=0,"n/a",IF(D66/HLOOKUP($D$7,$D$11:$G$99,56,FALSE)&gt;Control_Panel!$I$57,"Much Higher",IF(D66/HLOOKUP($D$7,$D$11:$G$99,56,FALSE)&gt;Control_Panel!$H$57,"Higher",IF(D66/HLOOKUP($D$7,$D$11:$G$99,56,FALSE)&gt;Control_Panel!$G$57,"Slightly Higher",IF(D66/HLOOKUP($D$7,$D$11:$G$99,56,FALSE)&lt;Control_Panel!$J$57,"Lower"," ")))))</f>
        <v>Lower</v>
      </c>
      <c r="D66" s="100">
        <f>HLOOKUP(D$11,Data!$B$120:$P$153,29,FALSE)/(HLOOKUP(D$11,Data!$B$59:$P$67,7,FALSE)+HLOOKUP(D$11,Data!$B$59:$P$67,8,FALSE)+HLOOKUP(D$11,Data!$B$59:$P$67,9,FALSE))</f>
        <v>1.0040160642570281E-2</v>
      </c>
      <c r="E66" s="100" t="e">
        <f>HLOOKUP(E$11,Data!$B$120:$P$153,29,FALSE)/(HLOOKUP(E$11,Data!$B$59:$P$67,7,FALSE)+HLOOKUP(E$11,Data!$B$59:$P$67,8,FALSE)+HLOOKUP(E$11,Data!$B$59:$P$67,9,FALSE))</f>
        <v>#DIV/0!</v>
      </c>
      <c r="F66" s="100" t="e">
        <f>HLOOKUP(F$11,Data!$B$120:$P$153,29,FALSE)/(HLOOKUP(F$11,Data!$B$59:$P$67,7,FALSE)+HLOOKUP(F$11,Data!$B$59:$P$67,8,FALSE)+HLOOKUP(F$11,Data!$B$59:$P$67,9,FALSE))</f>
        <v>#DIV/0!</v>
      </c>
      <c r="G66" s="103">
        <f>HLOOKUP(G$11,Data!$B$120:$P$153,29,FALSE)/(HLOOKUP(G$11,Data!$B$59:$P$67,7,FALSE)+HLOOKUP(G$11,Data!$B$59:$P$67,8,FALSE)+HLOOKUP(G$11,Data!$B$59:$P$67,9,FALSE))</f>
        <v>5.6701273341061321E-2</v>
      </c>
      <c r="H66" s="97">
        <f>HLOOKUP(D$11,Data!$B$120:$P$153,29,FALSE)</f>
        <v>10</v>
      </c>
      <c r="I66" s="72" t="s">
        <v>218</v>
      </c>
    </row>
    <row r="67" spans="1:9" x14ac:dyDescent="0.25">
      <c r="A67" s="155" t="s">
        <v>118</v>
      </c>
      <c r="B67" s="102" t="s">
        <v>74</v>
      </c>
      <c r="C67" s="99" t="str">
        <f>IF(HLOOKUP($D$7,$D$11:$G$99,57,FALSE)=0,"n/a",IF(D67/HLOOKUP($D$7,$D$11:$G$99,57,FALSE)&gt;Control_Panel!$I$57,"Much Higher",IF(D67/HLOOKUP($D$7,$D$11:$G$99,57,FALSE)&gt;Control_Panel!$H$57,"Higher",IF(D67/HLOOKUP($D$7,$D$11:$G$99,57,FALSE)&gt;Control_Panel!$G$57,"Slightly Higher",IF(D67/HLOOKUP($D$7,$D$11:$G$99,57,FALSE)&lt;Control_Panel!$J$57,"Lower"," ")))))</f>
        <v>Much Higher</v>
      </c>
      <c r="D67" s="100">
        <f>HLOOKUP(D$11,Data!$B$120:$P$153,30,FALSE)/(HLOOKUP(D$11,Data!$B$59:$P$67,7,FALSE)+HLOOKUP(D$11,Data!$B$59:$P$67,8,FALSE)+HLOOKUP(D$11,Data!$B$59:$P$67,9,FALSE))</f>
        <v>3.0120481927710843E-2</v>
      </c>
      <c r="E67" s="100" t="e">
        <f>HLOOKUP(E$11,Data!$B$120:$P$153,30,FALSE)/(HLOOKUP(E$11,Data!$B$59:$P$67,7,FALSE)+HLOOKUP(E$11,Data!$B$59:$P$67,8,FALSE)+HLOOKUP(E$11,Data!$B$59:$P$67,9,FALSE))</f>
        <v>#DIV/0!</v>
      </c>
      <c r="F67" s="100" t="e">
        <f>HLOOKUP(F$11,Data!$B$120:$P$153,30,FALSE)/(HLOOKUP(F$11,Data!$B$59:$P$67,7,FALSE)+HLOOKUP(F$11,Data!$B$59:$P$67,8,FALSE)+HLOOKUP(F$11,Data!$B$59:$P$67,9,FALSE))</f>
        <v>#DIV/0!</v>
      </c>
      <c r="G67" s="103">
        <f>HLOOKUP(G$11,Data!$B$120:$P$153,30,FALSE)/(HLOOKUP(G$11,Data!$B$59:$P$67,7,FALSE)+HLOOKUP(G$11,Data!$B$59:$P$67,8,FALSE)+HLOOKUP(G$11,Data!$B$59:$P$67,9,FALSE))</f>
        <v>1.4059509275053903E-2</v>
      </c>
      <c r="H67" s="97">
        <f>HLOOKUP(D$11,Data!$B$120:$P$153,30,FALSE)</f>
        <v>30</v>
      </c>
      <c r="I67" s="72" t="s">
        <v>218</v>
      </c>
    </row>
    <row r="68" spans="1:9" x14ac:dyDescent="0.25">
      <c r="A68" s="155" t="s">
        <v>118</v>
      </c>
      <c r="B68" s="102" t="s">
        <v>152</v>
      </c>
      <c r="C68" s="99" t="str">
        <f>IF(HLOOKUP($D$7,$D$11:$G$99,58,FALSE)=0,"n/a",IF(D68/HLOOKUP($D$7,$D$11:$G$99,58,FALSE)&gt;Control_Panel!$I$57,"Much Higher",IF(D68/HLOOKUP($D$7,$D$11:$G$99,58,FALSE)&gt;Control_Panel!$H$57,"Higher",IF(D68/HLOOKUP($D$7,$D$11:$G$99,58,FALSE)&gt;Control_Panel!$G$57,"Slightly Higher",IF(D68/HLOOKUP($D$7,$D$11:$G$99,58,FALSE)&lt;Control_Panel!$J$57,"Lower"," ")))))</f>
        <v>Lower</v>
      </c>
      <c r="D68" s="100">
        <f>HLOOKUP(D$11,Data!$B$120:$P$153,31,FALSE)/(HLOOKUP(D$11,Data!$B$59:$P$67,7,FALSE)+HLOOKUP(D$11,Data!$B$59:$P$67,8,FALSE)+HLOOKUP(D$11,Data!$B$59:$P$67,9,FALSE))</f>
        <v>0</v>
      </c>
      <c r="E68" s="100" t="e">
        <f>HLOOKUP(E$11,Data!$B$120:$P$153,31,FALSE)/(HLOOKUP(E$11,Data!$B$59:$P$67,7,FALSE)+HLOOKUP(E$11,Data!$B$59:$P$67,8,FALSE)+HLOOKUP(E$11,Data!$B$59:$P$67,9,FALSE))</f>
        <v>#DIV/0!</v>
      </c>
      <c r="F68" s="100" t="e">
        <f>HLOOKUP(F$11,Data!$B$120:$P$153,31,FALSE)/(HLOOKUP(F$11,Data!$B$59:$P$67,7,FALSE)+HLOOKUP(F$11,Data!$B$59:$P$67,8,FALSE)+HLOOKUP(F$11,Data!$B$59:$P$67,9,FALSE))</f>
        <v>#DIV/0!</v>
      </c>
      <c r="G68" s="103">
        <f>HLOOKUP(G$11,Data!$B$120:$P$153,31,FALSE)/(HLOOKUP(G$11,Data!$B$59:$P$67,7,FALSE)+HLOOKUP(G$11,Data!$B$59:$P$67,8,FALSE)+HLOOKUP(G$11,Data!$B$59:$P$67,9,FALSE))</f>
        <v>1.7491508572726367E-3</v>
      </c>
      <c r="H68" s="97">
        <f>HLOOKUP(D$11,Data!$B$120:$P$153,31,FALSE)</f>
        <v>0</v>
      </c>
      <c r="I68" s="72" t="s">
        <v>218</v>
      </c>
    </row>
    <row r="69" spans="1:9" x14ac:dyDescent="0.25">
      <c r="A69" s="155" t="s">
        <v>118</v>
      </c>
      <c r="B69" s="115" t="s">
        <v>240</v>
      </c>
      <c r="C69" s="99" t="str">
        <f>IF(D69-HLOOKUP($D$7,$D$11:$G$71,59,FALSE)&gt;Control_Panel!$I$58,"Much Higher",IF(D69-HLOOKUP($D$7,$D$11:$G$71,59,FALSE)&gt;Control_Panel!$H$58,"Higher",IF(D69-HLOOKUP($D$7,$D$11:$G$71,59,FALSE)&gt;Control_Panel!$G$58,"Slightly Higher",IF(D69-HLOOKUP($D$7,$D$11:$G$71,59,FALSE)&lt;Control_Panel!$J$58,"Lower"," "))))</f>
        <v xml:space="preserve"> </v>
      </c>
      <c r="D69" s="100">
        <f>HLOOKUP(D$11,Data!$B$120:$P$153,32,FALSE)/(HLOOKUP(D$11,Data!$B$59:$P$67,7,FALSE)+HLOOKUP(D$11,Data!$B$59:$P$67,8,FALSE)+HLOOKUP(D$11,Data!$B$59:$P$67,9,FALSE))</f>
        <v>0.84437751004016059</v>
      </c>
      <c r="E69" s="100" t="e">
        <f>HLOOKUP(E$11,Data!$B$120:$P$153,32,FALSE)/(HLOOKUP(E$11,Data!$B$59:$P$67,7,FALSE)+HLOOKUP(E$11,Data!$B$59:$P$67,8,FALSE)+HLOOKUP(E$11,Data!$B$59:$P$67,9,FALSE))</f>
        <v>#DIV/0!</v>
      </c>
      <c r="F69" s="100" t="e">
        <f>HLOOKUP(F$11,Data!$B$120:$P$153,32,FALSE)/(HLOOKUP(F$11,Data!$B$59:$P$67,7,FALSE)+HLOOKUP(F$11,Data!$B$59:$P$67,8,FALSE)+HLOOKUP(F$11,Data!$B$59:$P$67,9,FALSE))</f>
        <v>#DIV/0!</v>
      </c>
      <c r="G69" s="103">
        <f>HLOOKUP(G$11,Data!$B$120:$P$153,32,FALSE)/(HLOOKUP(G$11,Data!$B$59:$P$67,7,FALSE)+HLOOKUP(G$11,Data!$B$59:$P$67,8,FALSE)+HLOOKUP(G$11,Data!$B$59:$P$67,9,FALSE))</f>
        <v>0.92437926280821159</v>
      </c>
      <c r="H69" s="97">
        <f>HLOOKUP(D$11,Data!$B$120:$P$153,32,FALSE)</f>
        <v>841</v>
      </c>
      <c r="I69" s="72" t="s">
        <v>218</v>
      </c>
    </row>
    <row r="70" spans="1:9" x14ac:dyDescent="0.25">
      <c r="A70" s="155" t="s">
        <v>118</v>
      </c>
      <c r="B70" s="115" t="s">
        <v>237</v>
      </c>
      <c r="C70" s="99" t="str">
        <f>IF(D70-HLOOKUP($D$7,$D$11:$G$71,60,FALSE)&gt;Control_Panel!$I$58,"Much Higher",IF(D70-HLOOKUP($D$7,$D$11:$G$71,60,FALSE)&gt;Control_Panel!$H$58,"Higher",IF(D70-HLOOKUP($D$7,$D$11:$G$71,60,FALSE)&gt;Control_Panel!$G$58,"Slightly Higher",IF(D70-HLOOKUP($D$7,$D$11:$G$71,60,FALSE)&lt;Control_Panel!$J$58,"Lower"," "))))</f>
        <v>Lower</v>
      </c>
      <c r="D70" s="100">
        <f>HLOOKUP(D$11,Data!$B$120:$P$153,33,FALSE)/(HLOOKUP(D$11,Data!$B$59:$P$67,7,FALSE)+HLOOKUP(D$11,Data!$B$59:$P$67,8,FALSE)+HLOOKUP(D$11,Data!$B$59:$P$67,9,FALSE))</f>
        <v>0.56927710843373491</v>
      </c>
      <c r="E70" s="100" t="e">
        <f>HLOOKUP(E$11,Data!$B$120:$P$153,33,FALSE)/(HLOOKUP(E$11,Data!$B$59:$P$67,7,FALSE)+HLOOKUP(E$11,Data!$B$59:$P$67,8,FALSE)+HLOOKUP(E$11,Data!$B$59:$P$67,9,FALSE))</f>
        <v>#DIV/0!</v>
      </c>
      <c r="F70" s="100" t="e">
        <f>HLOOKUP(F$11,Data!$B$120:$P$153,33,FALSE)/(HLOOKUP(F$11,Data!$B$59:$P$67,7,FALSE)+HLOOKUP(F$11,Data!$B$59:$P$67,8,FALSE)+HLOOKUP(F$11,Data!$B$59:$P$67,9,FALSE))</f>
        <v>#DIV/0!</v>
      </c>
      <c r="G70" s="103">
        <f>HLOOKUP(G$11,Data!$B$120:$P$153,33,FALSE)/(HLOOKUP(G$11,Data!$B$59:$P$67,7,FALSE)+HLOOKUP(G$11,Data!$B$59:$P$67,8,FALSE)+HLOOKUP(G$11,Data!$B$59:$P$67,9,FALSE))</f>
        <v>0.75697094426794975</v>
      </c>
      <c r="H70" s="97">
        <f>HLOOKUP(D$11,Data!$B$120:$P$153,33,FALSE)</f>
        <v>567</v>
      </c>
      <c r="I70" s="72" t="s">
        <v>218</v>
      </c>
    </row>
    <row r="71" spans="1:9" ht="15.75" thickBot="1" x14ac:dyDescent="0.3">
      <c r="A71" s="155" t="s">
        <v>118</v>
      </c>
      <c r="B71" s="116" t="s">
        <v>238</v>
      </c>
      <c r="C71" s="105" t="str">
        <f>IF(D71-HLOOKUP($D$7,$D$11:$G$71,61,FALSE)&gt;Control_Panel!$I$58,"Much Higher",IF(D71-HLOOKUP($D$7,$D$11:$G$71,61,FALSE)&gt;Control_Panel!$H$58,"Higher",IF(D71-HLOOKUP($D$7,$D$11:$G$71,61,FALSE)&gt;Control_Panel!$G$58,"Slightly Higher",IF(D71-HLOOKUP($D$7,$D$11:$G$71,61,FALSE)&lt;Control_Panel!$J$58,"Lower"," "))))</f>
        <v>Lower</v>
      </c>
      <c r="D71" s="106">
        <f>HLOOKUP(D$11,Data!$B$120:$P$153,34,FALSE)/(HLOOKUP(D$11,Data!$B$59:$P$67,7,FALSE)+HLOOKUP(D$11,Data!$B$59:$P$67,8,FALSE)+HLOOKUP(D$11,Data!$B$59:$P$67,9,FALSE))</f>
        <v>0.19779116465863453</v>
      </c>
      <c r="E71" s="106" t="e">
        <f>HLOOKUP(E$11,Data!$B$120:$P$153,34,FALSE)/(HLOOKUP(E$11,Data!$B$59:$P$67,7,FALSE)+HLOOKUP(E$11,Data!$B$59:$P$67,8,FALSE)+HLOOKUP(E$11,Data!$B$59:$P$67,9,FALSE))</f>
        <v>#DIV/0!</v>
      </c>
      <c r="F71" s="106" t="e">
        <f>HLOOKUP(F$11,Data!$B$120:$P$153,34,FALSE)/(HLOOKUP(F$11,Data!$B$59:$P$67,7,FALSE)+HLOOKUP(F$11,Data!$B$59:$P$67,8,FALSE)+HLOOKUP(F$11,Data!$B$59:$P$67,9,FALSE))</f>
        <v>#DIV/0!</v>
      </c>
      <c r="G71" s="107">
        <f>HLOOKUP(G$11,Data!$B$120:$P$153,34,FALSE)/(HLOOKUP(G$11,Data!$B$59:$P$67,7,FALSE)+HLOOKUP(G$11,Data!$B$59:$P$67,8,FALSE)+HLOOKUP(G$11,Data!$B$59:$P$67,9,FALSE))</f>
        <v>0.39204458058764374</v>
      </c>
      <c r="H71" s="98">
        <f>HLOOKUP(D$11,Data!$B$120:$P$153,34,FALSE)</f>
        <v>197</v>
      </c>
      <c r="I71" s="72" t="s">
        <v>218</v>
      </c>
    </row>
    <row r="72" spans="1:9" ht="15.75" thickBot="1" x14ac:dyDescent="0.3">
      <c r="A72" s="155" t="s">
        <v>118</v>
      </c>
      <c r="C72" s="49"/>
      <c r="D72" s="79"/>
      <c r="E72" s="79"/>
      <c r="F72" s="79"/>
      <c r="G72" s="79"/>
      <c r="H72" s="80"/>
    </row>
    <row r="73" spans="1:9" ht="15.75" thickBot="1" x14ac:dyDescent="0.3">
      <c r="A73" s="155" t="s">
        <v>5</v>
      </c>
      <c r="B73" s="101" t="s">
        <v>76</v>
      </c>
      <c r="C73" s="112"/>
      <c r="D73" s="118"/>
      <c r="E73" s="118"/>
      <c r="F73" s="118"/>
      <c r="G73" s="119"/>
      <c r="H73" s="80"/>
    </row>
    <row r="74" spans="1:9" x14ac:dyDescent="0.25">
      <c r="A74" s="155" t="s">
        <v>5</v>
      </c>
      <c r="B74" s="102" t="s">
        <v>5</v>
      </c>
      <c r="C74" s="99" t="str">
        <f>IF(HLOOKUP($D$7,$D$11:$G$99,64,FALSE)=0,"n/a",IF(D74/HLOOKUP($D$7,$D$11:$G$99,64,FALSE)&gt;Control_Panel!$I$59,"Much Higher",IF(D74/HLOOKUP($D$7,$D$11:$G$99,64,FALSE)&gt;Control_Panel!$H$59,"Higher",IF(D74/HLOOKUP($D$7,$D$11:$G$99,64,FALSE)&gt;Control_Panel!$G$59,"Slightly Higher",IF(D74/HLOOKUP($D$7,$D$11:$G$99,64,FALSE)&lt;Control_Panel!$J$59,"Lower"," ")))))</f>
        <v>Slightly Higher</v>
      </c>
      <c r="D74" s="100">
        <f>HLOOKUP(D$11,Data!$B$168:$P$183,3,FALSE)/HLOOKUP(D$11,Data!$B$168:$P$183,2,FALSE)</f>
        <v>1.9280205655526992E-2</v>
      </c>
      <c r="E74" s="100" t="e">
        <f>HLOOKUP(E$11,Data!$B$168:$P$183,3,FALSE)/HLOOKUP(E$11,Data!$B$168:$P$183,2,FALSE)</f>
        <v>#DIV/0!</v>
      </c>
      <c r="F74" s="100" t="e">
        <f>HLOOKUP(F$11,Data!$B$168:$P$183,3,FALSE)/HLOOKUP(F$11,Data!$B$168:$P$183,2,FALSE)</f>
        <v>#DIV/0!</v>
      </c>
      <c r="G74" s="103">
        <f>HLOOKUP(G$11,Data!$B$168:$P$183,3,FALSE)/HLOOKUP(G$11,Data!$B$168:$P$183,2,FALSE)</f>
        <v>1.3217454390515845E-2</v>
      </c>
      <c r="H74" s="117">
        <f>HLOOKUP(D$11,Data!$B$168:$P$183,3,FALSE)</f>
        <v>30</v>
      </c>
      <c r="I74" s="72" t="s">
        <v>236</v>
      </c>
    </row>
    <row r="75" spans="1:9" x14ac:dyDescent="0.25">
      <c r="A75" s="155" t="s">
        <v>5</v>
      </c>
      <c r="B75" s="102" t="s">
        <v>78</v>
      </c>
      <c r="C75" s="99" t="str">
        <f>IF(HLOOKUP($D$7,$D$11:$G$99,65,FALSE)=0,"n/a",IF(D75/HLOOKUP($D$7,$D$11:$G$99,65,FALSE)&gt;Control_Panel!$I$59,"Much Higher",IF(D75/HLOOKUP($D$7,$D$11:$G$99,65,FALSE)&gt;Control_Panel!$H$59,"Higher",IF(D75/HLOOKUP($D$7,$D$11:$G$99,65,FALSE)&gt;Control_Panel!$G$59,"Slightly Higher",IF(D75/HLOOKUP($D$7,$D$11:$G$99,65,FALSE)&lt;Control_Panel!$J$59,"Lower"," ")))))</f>
        <v>Lower</v>
      </c>
      <c r="D75" s="100">
        <f>HLOOKUP(D$11,Data!$B$168:$P$183,4,FALSE)/HLOOKUP(D$11,Data!$B$168:$P$183,2,FALSE)</f>
        <v>2.056555269922879E-2</v>
      </c>
      <c r="E75" s="100" t="e">
        <f>HLOOKUP(E$11,Data!$B$168:$P$183,4,FALSE)/HLOOKUP(E$11,Data!$B$168:$P$183,2,FALSE)</f>
        <v>#DIV/0!</v>
      </c>
      <c r="F75" s="100" t="e">
        <f>HLOOKUP(F$11,Data!$B$168:$P$183,4,FALSE)/HLOOKUP(F$11,Data!$B$168:$P$183,2,FALSE)</f>
        <v>#DIV/0!</v>
      </c>
      <c r="G75" s="103">
        <f>HLOOKUP(G$11,Data!$B$168:$P$183,4,FALSE)/HLOOKUP(G$11,Data!$B$168:$P$183,2,FALSE)</f>
        <v>7.5438151967456318E-2</v>
      </c>
      <c r="H75" s="97">
        <f>HLOOKUP(D$11,Data!$B$168:$P$183,4,FALSE)</f>
        <v>32</v>
      </c>
      <c r="I75" s="72" t="s">
        <v>236</v>
      </c>
    </row>
    <row r="76" spans="1:9" x14ac:dyDescent="0.25">
      <c r="A76" s="155" t="s">
        <v>5</v>
      </c>
      <c r="B76" s="64" t="s">
        <v>59</v>
      </c>
      <c r="C76" s="99"/>
      <c r="D76" s="100"/>
      <c r="E76" s="100"/>
      <c r="F76" s="100"/>
      <c r="G76" s="103"/>
      <c r="H76" s="97"/>
      <c r="I76" s="72"/>
    </row>
    <row r="77" spans="1:9" x14ac:dyDescent="0.25">
      <c r="A77" s="155" t="s">
        <v>5</v>
      </c>
      <c r="B77" s="102" t="s">
        <v>79</v>
      </c>
      <c r="C77" s="99" t="str">
        <f>IF(HLOOKUP($D$7,$D$11:$G$99,67,FALSE)=0,"n/a",IF(D77/HLOOKUP($D$7,$D$11:$G$99,67,FALSE)&gt;Control_Panel!$I$60,"Much Higher",IF(D77/HLOOKUP($D$7,$D$11:$G$99,67,FALSE)&gt;Control_Panel!$H$60,"Higher",IF(D77/HLOOKUP($D$7,$D$11:$G$99,67,FALSE)&gt;Control_Panel!$G$60,"Slightly Higher",IF(D77/HLOOKUP($D$7,$D$11:$G$99,67,FALSE)&lt;Control_Panel!$J$60,"Lower"," ")))))</f>
        <v>Much Higher</v>
      </c>
      <c r="D77" s="100">
        <f>HLOOKUP(D$11,Data!$B$168:$P$183,6,FALSE)/(HLOOKUP(D$11,Data!$B$59:$P$67,4,FALSE)+HLOOKUP(D$11,Data!$B$59:$P$67,5,FALSE)+HLOOKUP(D$11,Data!$B$59:$P$67,6,FALSE))</f>
        <v>0.67142857142857137</v>
      </c>
      <c r="E77" s="100" t="e">
        <f>HLOOKUP(E$11,Data!$B$168:$P$183,6,FALSE)/(HLOOKUP(E$11,Data!$B$59:$P$67,4,FALSE)+HLOOKUP(E$11,Data!$B$59:$P$67,5,FALSE)+HLOOKUP(E$11,Data!$B$59:$P$67,6,FALSE))</f>
        <v>#DIV/0!</v>
      </c>
      <c r="F77" s="100" t="e">
        <f>HLOOKUP(F$11,Data!$B$168:$P$183,6,FALSE)/(HLOOKUP(F$11,Data!$B$59:$P$67,4,FALSE)+HLOOKUP(F$11,Data!$B$59:$P$67,5,FALSE)+HLOOKUP(F$11,Data!$B$59:$P$67,6,FALSE))</f>
        <v>#DIV/0!</v>
      </c>
      <c r="G77" s="103">
        <f>HLOOKUP(G$11,Data!$B$168:$P$183,6,FALSE)/(HLOOKUP(G$11,Data!$B$59:$P$67,4,FALSE)+HLOOKUP(G$11,Data!$B$59:$P$67,5,FALSE)+HLOOKUP(G$11,Data!$B$59:$P$67,6,FALSE))</f>
        <v>0.17393945771313724</v>
      </c>
      <c r="H77" s="97">
        <f>HLOOKUP(D$11,Data!$B$168:$P$183,6,FALSE)</f>
        <v>376</v>
      </c>
      <c r="I77" s="72" t="s">
        <v>217</v>
      </c>
    </row>
    <row r="78" spans="1:9" x14ac:dyDescent="0.25">
      <c r="A78" s="155" t="s">
        <v>5</v>
      </c>
      <c r="B78" s="115" t="s">
        <v>228</v>
      </c>
      <c r="C78" s="99" t="str">
        <f>IF(HLOOKUP($D$7,$D$11:$G$99,68,FALSE)=0,"n/a",IF(D78/HLOOKUP($D$7,$D$11:$G$99,68,FALSE)&gt;Control_Panel!$I$61,"Much Higher",IF(D78/HLOOKUP($D$7,$D$11:$G$99,68,FALSE)&gt;Control_Panel!$H$61,"Higher",IF(D78/HLOOKUP($D$7,$D$11:$G$99,68,FALSE)&gt;Control_Panel!$G$61,"Slightly Higher",IF(D78/HLOOKUP($D$7,$D$11:$G$99,68,FALSE)&lt;Control_Panel!$J$61,"Lower"," ")))))</f>
        <v>Much Higher</v>
      </c>
      <c r="D78" s="100">
        <f>HLOOKUP(D$11,Data!$B$168:$P$183,7,FALSE)/(HLOOKUP(D$11,Data!$B$59:$P$67,4,FALSE)+HLOOKUP(D$11,Data!$B$59:$P$67,5,FALSE)+HLOOKUP(D$11,Data!$B$59:$P$67,6,FALSE))</f>
        <v>1.7857142857142856E-2</v>
      </c>
      <c r="E78" s="100" t="e">
        <f>HLOOKUP(E$11,Data!$B$168:$P$183,7,FALSE)/(HLOOKUP(E$11,Data!$B$59:$P$67,4,FALSE)+HLOOKUP(E$11,Data!$B$59:$P$67,5,FALSE)+HLOOKUP(E$11,Data!$B$59:$P$67,6,FALSE))</f>
        <v>#DIV/0!</v>
      </c>
      <c r="F78" s="100" t="e">
        <f>HLOOKUP(F$11,Data!$B$168:$P$183,7,FALSE)/(HLOOKUP(F$11,Data!$B$59:$P$67,4,FALSE)+HLOOKUP(F$11,Data!$B$59:$P$67,5,FALSE)+HLOOKUP(F$11,Data!$B$59:$P$67,6,FALSE))</f>
        <v>#DIV/0!</v>
      </c>
      <c r="G78" s="103">
        <f>HLOOKUP(G$11,Data!$B$168:$P$183,7,FALSE)/(HLOOKUP(G$11,Data!$B$59:$P$67,4,FALSE)+HLOOKUP(G$11,Data!$B$59:$P$67,5,FALSE)+HLOOKUP(G$11,Data!$B$59:$P$67,6,FALSE))</f>
        <v>1.7278344801733958E-3</v>
      </c>
      <c r="H78" s="97">
        <f>HLOOKUP(D$11,Data!$B$168:$P$183,7,FALSE)</f>
        <v>10</v>
      </c>
      <c r="I78" s="72" t="s">
        <v>217</v>
      </c>
    </row>
    <row r="79" spans="1:9" x14ac:dyDescent="0.25">
      <c r="A79" s="155" t="s">
        <v>5</v>
      </c>
      <c r="B79" s="115" t="s">
        <v>229</v>
      </c>
      <c r="C79" s="99" t="str">
        <f>IF(HLOOKUP($D$7,$D$11:$G$99,69,FALSE)=0,"n/a",IF(D79/HLOOKUP($D$7,$D$11:$G$99,69,FALSE)&gt;Control_Panel!$I$61,"Much Higher",IF(D79/HLOOKUP($D$7,$D$11:$G$99,69,FALSE)&gt;Control_Panel!$H$61,"Higher",IF(D79/HLOOKUP($D$7,$D$11:$G$99,69,FALSE)&gt;Control_Panel!$G$61,"Slightly Higher",IF(D79/HLOOKUP($D$7,$D$11:$G$99,69,FALSE)&lt;Control_Panel!$J$61,"Lower"," ")))))</f>
        <v>Lower</v>
      </c>
      <c r="D79" s="100">
        <f>HLOOKUP(D$11,Data!$B$168:$P$183,8,FALSE)/(HLOOKUP(D$11,Data!$B$59:$P$67,4,FALSE)+HLOOKUP(D$11,Data!$B$59:$P$67,5,FALSE)+HLOOKUP(D$11,Data!$B$59:$P$67,6,FALSE))</f>
        <v>0</v>
      </c>
      <c r="E79" s="100" t="e">
        <f>HLOOKUP(E$11,Data!$B$168:$P$183,8,FALSE)/(HLOOKUP(E$11,Data!$B$59:$P$67,4,FALSE)+HLOOKUP(E$11,Data!$B$59:$P$67,5,FALSE)+HLOOKUP(E$11,Data!$B$59:$P$67,6,FALSE))</f>
        <v>#DIV/0!</v>
      </c>
      <c r="F79" s="100" t="e">
        <f>HLOOKUP(F$11,Data!$B$168:$P$183,8,FALSE)/(HLOOKUP(F$11,Data!$B$59:$P$67,4,FALSE)+HLOOKUP(F$11,Data!$B$59:$P$67,5,FALSE)+HLOOKUP(F$11,Data!$B$59:$P$67,6,FALSE))</f>
        <v>#DIV/0!</v>
      </c>
      <c r="G79" s="103">
        <f>HLOOKUP(G$11,Data!$B$168:$P$183,8,FALSE)/(HLOOKUP(G$11,Data!$B$59:$P$67,4,FALSE)+HLOOKUP(G$11,Data!$B$59:$P$67,5,FALSE)+HLOOKUP(G$11,Data!$B$59:$P$67,6,FALSE))</f>
        <v>1.3154328135619501E-3</v>
      </c>
      <c r="H79" s="97">
        <f>HLOOKUP(D$11,Data!$B$168:$P$183,8,FALSE)</f>
        <v>0</v>
      </c>
      <c r="I79" s="72" t="s">
        <v>217</v>
      </c>
    </row>
    <row r="80" spans="1:9" x14ac:dyDescent="0.25">
      <c r="A80" s="155" t="s">
        <v>5</v>
      </c>
      <c r="B80" s="115" t="s">
        <v>230</v>
      </c>
      <c r="C80" s="99" t="str">
        <f>IF(HLOOKUP($D$7,$D$11:$G$99,70,FALSE)=0,"n/a",IF(D80/HLOOKUP($D$7,$D$11:$G$99,70,FALSE)&gt;Control_Panel!$I$61,"Much Higher",IF(D80/HLOOKUP($D$7,$D$11:$G$99,70,FALSE)&gt;Control_Panel!$H$61,"Higher",IF(D80/HLOOKUP($D$7,$D$11:$G$99,70,FALSE)&gt;Control_Panel!$G$61,"Slightly Higher",IF(D80/HLOOKUP($D$7,$D$11:$G$99,70,FALSE)&lt;Control_Panel!$J$61,"Lower"," ")))))</f>
        <v>Lower</v>
      </c>
      <c r="D80" s="100">
        <f>HLOOKUP(D$11,Data!$B$168:$P$183,9,FALSE)/(HLOOKUP(D$11,Data!$B$59:$P$67,4,FALSE)+HLOOKUP(D$11,Data!$B$59:$P$67,5,FALSE)+HLOOKUP(D$11,Data!$B$59:$P$67,6,FALSE))</f>
        <v>0</v>
      </c>
      <c r="E80" s="100" t="e">
        <f>HLOOKUP(E$11,Data!$B$168:$P$183,9,FALSE)/(HLOOKUP(E$11,Data!$B$59:$P$67,4,FALSE)+HLOOKUP(E$11,Data!$B$59:$P$67,5,FALSE)+HLOOKUP(E$11,Data!$B$59:$P$67,6,FALSE))</f>
        <v>#DIV/0!</v>
      </c>
      <c r="F80" s="100" t="e">
        <f>HLOOKUP(F$11,Data!$B$168:$P$183,9,FALSE)/(HLOOKUP(F$11,Data!$B$59:$P$67,4,FALSE)+HLOOKUP(F$11,Data!$B$59:$P$67,5,FALSE)+HLOOKUP(F$11,Data!$B$59:$P$67,6,FALSE))</f>
        <v>#DIV/0!</v>
      </c>
      <c r="G80" s="103">
        <f>HLOOKUP(G$11,Data!$B$168:$P$183,9,FALSE)/(HLOOKUP(G$11,Data!$B$59:$P$67,4,FALSE)+HLOOKUP(G$11,Data!$B$59:$P$67,5,FALSE)+HLOOKUP(G$11,Data!$B$59:$P$67,6,FALSE))</f>
        <v>1.5460756987436162E-3</v>
      </c>
      <c r="H80" s="97">
        <f>HLOOKUP(D$11,Data!$B$168:$P$183,9,FALSE)</f>
        <v>0</v>
      </c>
      <c r="I80" s="72" t="s">
        <v>217</v>
      </c>
    </row>
    <row r="81" spans="1:9" x14ac:dyDescent="0.25">
      <c r="A81" s="155" t="s">
        <v>5</v>
      </c>
      <c r="B81" s="115" t="s">
        <v>231</v>
      </c>
      <c r="C81" s="99" t="str">
        <f>IF(HLOOKUP($D$7,$D$11:$G$99,71,FALSE)=0,"n/a",IF(D81/HLOOKUP($D$7,$D$11:$G$99,71,FALSE)&gt;Control_Panel!$I$61,"Much Higher",IF(D81/HLOOKUP($D$7,$D$11:$G$99,71,FALSE)&gt;Control_Panel!$H$61,"Higher",IF(D81/HLOOKUP($D$7,$D$11:$G$99,71,FALSE)&gt;Control_Panel!$G$61,"Slightly Higher",IF(D81/HLOOKUP($D$7,$D$11:$G$99,71,FALSE)&lt;Control_Panel!$J$61,"Lower"," ")))))</f>
        <v>Lower</v>
      </c>
      <c r="D81" s="100">
        <f>HLOOKUP(D$11,Data!$B$168:$P$183,10,FALSE)/(HLOOKUP(D$11,Data!$B$59:$P$67,4,FALSE)+HLOOKUP(D$11,Data!$B$59:$P$67,5,FALSE)+HLOOKUP(D$11,Data!$B$59:$P$67,6,FALSE))</f>
        <v>0</v>
      </c>
      <c r="E81" s="100" t="e">
        <f>HLOOKUP(E$11,Data!$B$168:$P$183,10,FALSE)/(HLOOKUP(E$11,Data!$B$59:$P$67,4,FALSE)+HLOOKUP(E$11,Data!$B$59:$P$67,5,FALSE)+HLOOKUP(E$11,Data!$B$59:$P$67,6,FALSE))</f>
        <v>#DIV/0!</v>
      </c>
      <c r="F81" s="100" t="e">
        <f>HLOOKUP(F$11,Data!$B$168:$P$183,10,FALSE)/(HLOOKUP(F$11,Data!$B$59:$P$67,4,FALSE)+HLOOKUP(F$11,Data!$B$59:$P$67,5,FALSE)+HLOOKUP(F$11,Data!$B$59:$P$67,6,FALSE))</f>
        <v>#DIV/0!</v>
      </c>
      <c r="G81" s="103">
        <f>HLOOKUP(G$11,Data!$B$168:$P$183,10,FALSE)/(HLOOKUP(G$11,Data!$B$59:$P$67,4,FALSE)+HLOOKUP(G$11,Data!$B$59:$P$67,5,FALSE)+HLOOKUP(G$11,Data!$B$59:$P$67,6,FALSE))</f>
        <v>7.7565427497912462E-4</v>
      </c>
      <c r="H81" s="97">
        <f>HLOOKUP(D$11,Data!$B$168:$P$183,10,FALSE)</f>
        <v>0</v>
      </c>
      <c r="I81" s="72" t="s">
        <v>217</v>
      </c>
    </row>
    <row r="82" spans="1:9" x14ac:dyDescent="0.25">
      <c r="A82" s="155" t="s">
        <v>5</v>
      </c>
      <c r="B82" s="64" t="s">
        <v>75</v>
      </c>
      <c r="C82" s="99"/>
      <c r="D82" s="100"/>
      <c r="E82" s="100"/>
      <c r="F82" s="100"/>
      <c r="G82" s="103"/>
      <c r="H82" s="97"/>
      <c r="I82" s="72"/>
    </row>
    <row r="83" spans="1:9" x14ac:dyDescent="0.25">
      <c r="A83" s="155" t="s">
        <v>5</v>
      </c>
      <c r="B83" s="102" t="s">
        <v>79</v>
      </c>
      <c r="C83" s="99" t="str">
        <f>IF(HLOOKUP($D$7,$D$11:$G$99,73,FALSE)=0,"n/a",IF(D83/HLOOKUP($D$7,$D$11:$G$99,73,FALSE)&gt;Control_Panel!$I$60,"Much Higher",IF(D83/HLOOKUP($D$7,$D$11:$G$99,73,FALSE)&gt;Control_Panel!$H$60,"Higher",IF(D83/HLOOKUP($D$7,$D$11:$G$99,73,FALSE)&gt;Control_Panel!$G$60,"Slightly Higher",IF(D83/HLOOKUP($D$7,$D$11:$G$99,73,FALSE)&lt;Control_Panel!$J$60,"Lower"," ")))))</f>
        <v>Much Higher</v>
      </c>
      <c r="D83" s="100">
        <f>HLOOKUP(D$11,Data!$B$168:$P$183,12,FALSE)/(HLOOKUP(D$11,Data!$B$59:$P$67,7,FALSE)+HLOOKUP(D$11,Data!$B$59:$P$67,8,FALSE)+HLOOKUP(D$11,Data!$B$59:$P$67,9,FALSE))</f>
        <v>0.6275100401606426</v>
      </c>
      <c r="E83" s="100" t="e">
        <f>HLOOKUP(E$11,Data!$B$168:$P$183,12,FALSE)/(HLOOKUP(E$11,Data!$B$59:$P$67,7,FALSE)+HLOOKUP(E$11,Data!$B$59:$P$67,8,FALSE)+HLOOKUP(E$11,Data!$B$59:$P$67,9,FALSE))</f>
        <v>#DIV/0!</v>
      </c>
      <c r="F83" s="100" t="e">
        <f>HLOOKUP(F$11,Data!$B$168:$P$183,12,FALSE)/(HLOOKUP(F$11,Data!$B$59:$P$67,7,FALSE)+HLOOKUP(F$11,Data!$B$59:$P$67,8,FALSE)+HLOOKUP(F$11,Data!$B$59:$P$67,9,FALSE))</f>
        <v>#DIV/0!</v>
      </c>
      <c r="G83" s="103">
        <f>HLOOKUP(G$11,Data!$B$168:$P$183,12,FALSE)/(HLOOKUP(G$11,Data!$B$59:$P$67,7,FALSE)+HLOOKUP(G$11,Data!$B$59:$P$67,8,FALSE)+HLOOKUP(G$11,Data!$B$59:$P$67,9,FALSE))</f>
        <v>0.21522350796349898</v>
      </c>
      <c r="H83" s="97">
        <f>HLOOKUP(D$11,Data!$B$168:$P$183,12,FALSE)</f>
        <v>625</v>
      </c>
      <c r="I83" s="72" t="s">
        <v>218</v>
      </c>
    </row>
    <row r="84" spans="1:9" x14ac:dyDescent="0.25">
      <c r="A84" s="155" t="s">
        <v>5</v>
      </c>
      <c r="B84" s="115" t="s">
        <v>228</v>
      </c>
      <c r="C84" s="99" t="str">
        <f>IF(HLOOKUP($D$7,$D$11:$G$99,74,FALSE)=0,"n/a",IF(D84/HLOOKUP($D$7,$D$11:$G$99,74,FALSE)&gt;Control_Panel!$I$62,"Much Higher",IF(D84/HLOOKUP($D$7,$D$11:$G$99,74,FALSE)&gt;Control_Panel!$H$62,"Higher",IF(D84/HLOOKUP($D$7,$D$11:$G$99,74,FALSE)&gt;Control_Panel!$G$62,"Slightly Higher",IF(D84/HLOOKUP($D$7,$D$11:$G$99,74,FALSE)&lt;Control_Panel!$J$62,"Lower"," ")))))</f>
        <v>Lower</v>
      </c>
      <c r="D84" s="100">
        <f>HLOOKUP(D$11,Data!$B$168:$P$183,13,FALSE)/(HLOOKUP(D$11,Data!$B$59:$P$67,7,FALSE)+HLOOKUP(D$11,Data!$B$59:$P$67,8,FALSE)+HLOOKUP(D$11,Data!$B$59:$P$67,9,FALSE))</f>
        <v>0</v>
      </c>
      <c r="E84" s="100" t="e">
        <f>HLOOKUP(E$11,Data!$B$168:$P$183,13,FALSE)/(HLOOKUP(E$11,Data!$B$59:$P$67,7,FALSE)+HLOOKUP(E$11,Data!$B$59:$P$67,8,FALSE)+HLOOKUP(E$11,Data!$B$59:$P$67,9,FALSE))</f>
        <v>#DIV/0!</v>
      </c>
      <c r="F84" s="100" t="e">
        <f>HLOOKUP(F$11,Data!$B$168:$P$183,13,FALSE)/(HLOOKUP(F$11,Data!$B$59:$P$67,7,FALSE)+HLOOKUP(F$11,Data!$B$59:$P$67,8,FALSE)+HLOOKUP(F$11,Data!$B$59:$P$67,9,FALSE))</f>
        <v>#DIV/0!</v>
      </c>
      <c r="G84" s="103">
        <f>HLOOKUP(G$11,Data!$B$168:$P$183,13,FALSE)/(HLOOKUP(G$11,Data!$B$59:$P$67,7,FALSE)+HLOOKUP(G$11,Data!$B$59:$P$67,8,FALSE)+HLOOKUP(G$11,Data!$B$59:$P$67,9,FALSE))</f>
        <v>7.9862330517120345E-3</v>
      </c>
      <c r="H84" s="97">
        <f>HLOOKUP(D$11,Data!$B$168:$P$183,13,FALSE)</f>
        <v>0</v>
      </c>
      <c r="I84" s="72" t="s">
        <v>218</v>
      </c>
    </row>
    <row r="85" spans="1:9" x14ac:dyDescent="0.25">
      <c r="A85" s="155" t="s">
        <v>5</v>
      </c>
      <c r="B85" s="115" t="s">
        <v>229</v>
      </c>
      <c r="C85" s="99" t="str">
        <f>IF(HLOOKUP($D$7,$D$11:$G$99,75,FALSE)=0,"n/a",IF(D85/HLOOKUP($D$7,$D$11:$G$99,75,FALSE)&gt;Control_Panel!$I$62,"Much Higher",IF(D85/HLOOKUP($D$7,$D$11:$G$99,75,FALSE)&gt;Control_Panel!$H$62,"Higher",IF(D85/HLOOKUP($D$7,$D$11:$G$99,75,FALSE)&gt;Control_Panel!$G$62,"Slightly Higher",IF(D85/HLOOKUP($D$7,$D$11:$G$99,75,FALSE)&lt;Control_Panel!$J$62,"Lower"," ")))))</f>
        <v>Lower</v>
      </c>
      <c r="D85" s="100">
        <f>HLOOKUP(D$11,Data!$B$168:$P$183,14,FALSE)/(HLOOKUP(D$11,Data!$B$59:$P$67,7,FALSE)+HLOOKUP(D$11,Data!$B$59:$P$67,8,FALSE)+HLOOKUP(D$11,Data!$B$59:$P$67,9,FALSE))</f>
        <v>0</v>
      </c>
      <c r="E85" s="100" t="e">
        <f>HLOOKUP(E$11,Data!$B$168:$P$183,14,FALSE)/(HLOOKUP(E$11,Data!$B$59:$P$67,7,FALSE)+HLOOKUP(E$11,Data!$B$59:$P$67,8,FALSE)+HLOOKUP(E$11,Data!$B$59:$P$67,9,FALSE))</f>
        <v>#DIV/0!</v>
      </c>
      <c r="F85" s="100" t="e">
        <f>HLOOKUP(F$11,Data!$B$168:$P$183,14,FALSE)/(HLOOKUP(F$11,Data!$B$59:$P$67,7,FALSE)+HLOOKUP(F$11,Data!$B$59:$P$67,8,FALSE)+HLOOKUP(F$11,Data!$B$59:$P$67,9,FALSE))</f>
        <v>#DIV/0!</v>
      </c>
      <c r="G85" s="103">
        <f>HLOOKUP(G$11,Data!$B$168:$P$183,14,FALSE)/(HLOOKUP(G$11,Data!$B$59:$P$67,7,FALSE)+HLOOKUP(G$11,Data!$B$59:$P$67,8,FALSE)+HLOOKUP(G$11,Data!$B$59:$P$67,9,FALSE))</f>
        <v>4.7281046081538488E-3</v>
      </c>
      <c r="H85" s="97">
        <f>HLOOKUP(D$11,Data!$B$168:$P$183,14,FALSE)</f>
        <v>0</v>
      </c>
      <c r="I85" s="72" t="s">
        <v>218</v>
      </c>
    </row>
    <row r="86" spans="1:9" x14ac:dyDescent="0.25">
      <c r="A86" s="155" t="s">
        <v>5</v>
      </c>
      <c r="B86" s="115" t="s">
        <v>230</v>
      </c>
      <c r="C86" s="99" t="str">
        <f>IF(HLOOKUP($D$7,$D$11:$G$99,76,FALSE)=0,"n/a",IF(D86/HLOOKUP($D$7,$D$11:$G$99,76,FALSE)&gt;Control_Panel!$I$62,"Much Higher",IF(D86/HLOOKUP($D$7,$D$11:$G$99,76,FALSE)&gt;Control_Panel!$H$62,"Higher",IF(D86/HLOOKUP($D$7,$D$11:$G$99,76,FALSE)&gt;Control_Panel!$G$62,"Slightly Higher",IF(D86/HLOOKUP($D$7,$D$11:$G$99,76,FALSE)&lt;Control_Panel!$J$62,"Lower"," ")))))</f>
        <v>Lower</v>
      </c>
      <c r="D86" s="100">
        <f>HLOOKUP(D$11,Data!$B$168:$P$183,15,FALSE)/(HLOOKUP(D$11,Data!$B$59:$P$67,7,FALSE)+HLOOKUP(D$11,Data!$B$59:$P$67,8,FALSE)+HLOOKUP(D$11,Data!$B$59:$P$67,9,FALSE))</f>
        <v>0</v>
      </c>
      <c r="E86" s="100" t="e">
        <f>HLOOKUP(E$11,Data!$B$168:$P$183,15,FALSE)/(HLOOKUP(E$11,Data!$B$59:$P$67,7,FALSE)+HLOOKUP(E$11,Data!$B$59:$P$67,8,FALSE)+HLOOKUP(E$11,Data!$B$59:$P$67,9,FALSE))</f>
        <v>#DIV/0!</v>
      </c>
      <c r="F86" s="100" t="e">
        <f>HLOOKUP(F$11,Data!$B$168:$P$183,15,FALSE)/(HLOOKUP(F$11,Data!$B$59:$P$67,7,FALSE)+HLOOKUP(F$11,Data!$B$59:$P$67,8,FALSE)+HLOOKUP(F$11,Data!$B$59:$P$67,9,FALSE))</f>
        <v>#DIV/0!</v>
      </c>
      <c r="G86" s="103">
        <f>HLOOKUP(G$11,Data!$B$168:$P$183,15,FALSE)/(HLOOKUP(G$11,Data!$B$59:$P$67,7,FALSE)+HLOOKUP(G$11,Data!$B$59:$P$67,8,FALSE)+HLOOKUP(G$11,Data!$B$59:$P$67,9,FALSE))</f>
        <v>4.3743239701152488E-3</v>
      </c>
      <c r="H86" s="97">
        <f>HLOOKUP(D$11,Data!$B$168:$P$183,15,FALSE)</f>
        <v>0</v>
      </c>
      <c r="I86" s="72" t="s">
        <v>218</v>
      </c>
    </row>
    <row r="87" spans="1:9" ht="15.75" thickBot="1" x14ac:dyDescent="0.3">
      <c r="A87" s="155" t="s">
        <v>5</v>
      </c>
      <c r="B87" s="116" t="s">
        <v>231</v>
      </c>
      <c r="C87" s="105" t="str">
        <f>IF(HLOOKUP($D$7,$D$11:$G$99,77,FALSE)=0,"n/a",IF(D87/HLOOKUP($D$7,$D$11:$G$99,77,FALSE)&gt;Control_Panel!$I$62,"Much Higher",IF(D87/HLOOKUP($D$7,$D$11:$G$99,77,FALSE)&gt;Control_Panel!$H$62,"Higher",IF(D87/HLOOKUP($D$7,$D$11:$G$99,77,FALSE)&gt;Control_Panel!$G$62,"Slightly Higher",IF(D87/HLOOKUP($D$7,$D$11:$G$99,77,FALSE)&lt;Control_Panel!$J$62,"Lower"," ")))))</f>
        <v>Much Higher</v>
      </c>
      <c r="D87" s="106">
        <f>HLOOKUP(D$11,Data!$B$168:$P$183,16,FALSE)/(HLOOKUP(D$11,Data!$B$59:$P$67,7,FALSE)+HLOOKUP(D$11,Data!$B$59:$P$67,8,FALSE)+HLOOKUP(D$11,Data!$B$59:$P$67,9,FALSE))</f>
        <v>1.0040160642570281E-2</v>
      </c>
      <c r="E87" s="106" t="e">
        <f>HLOOKUP(E$11,Data!$B$168:$P$183,16,FALSE)/(HLOOKUP(E$11,Data!$B$59:$P$67,7,FALSE)+HLOOKUP(E$11,Data!$B$59:$P$67,8,FALSE)+HLOOKUP(E$11,Data!$B$59:$P$67,9,FALSE))</f>
        <v>#DIV/0!</v>
      </c>
      <c r="F87" s="106" t="e">
        <f>HLOOKUP(F$11,Data!$B$168:$P$183,16,FALSE)/(HLOOKUP(F$11,Data!$B$59:$P$67,7,FALSE)+HLOOKUP(F$11,Data!$B$59:$P$67,8,FALSE)+HLOOKUP(F$11,Data!$B$59:$P$67,9,FALSE))</f>
        <v>#DIV/0!</v>
      </c>
      <c r="G87" s="107">
        <f>HLOOKUP(G$11,Data!$B$168:$P$183,16,FALSE)/(HLOOKUP(G$11,Data!$B$59:$P$67,7,FALSE)+HLOOKUP(G$11,Data!$B$59:$P$67,8,FALSE)+HLOOKUP(G$11,Data!$B$59:$P$67,9,FALSE))</f>
        <v>1.7366955645394143E-3</v>
      </c>
      <c r="H87" s="98">
        <f>HLOOKUP(D$11,Data!$B$168:$P$183,16,FALSE)</f>
        <v>10</v>
      </c>
      <c r="I87" s="72" t="s">
        <v>218</v>
      </c>
    </row>
    <row r="88" spans="1:9" ht="15.75" thickBot="1" x14ac:dyDescent="0.3">
      <c r="A88" s="155" t="s">
        <v>5</v>
      </c>
      <c r="D88" s="79"/>
      <c r="E88" s="79"/>
      <c r="F88" s="79"/>
      <c r="G88" s="79"/>
      <c r="H88" s="79"/>
    </row>
    <row r="89" spans="1:9" x14ac:dyDescent="0.25">
      <c r="A89" s="155" t="s">
        <v>246</v>
      </c>
      <c r="B89" s="215" t="s">
        <v>84</v>
      </c>
      <c r="C89" s="216"/>
      <c r="D89" s="216"/>
      <c r="E89" s="118"/>
      <c r="F89" s="118"/>
      <c r="G89" s="119"/>
      <c r="H89" s="79"/>
    </row>
    <row r="90" spans="1:9" ht="30" x14ac:dyDescent="0.25">
      <c r="A90" s="155" t="s">
        <v>246</v>
      </c>
      <c r="B90" s="120" t="s">
        <v>85</v>
      </c>
      <c r="C90" s="33" t="str">
        <f>IF(D90-HLOOKUP($D$7,$D$11:$G$99,80,FALSE)&gt;Control_Panel!$I$64,"Much Higher",IF(D90-HLOOKUP($D$7,$D$11:$G$99,80,FALSE)&gt;Control_Panel!$H$64,"Higher",IF(D90-HLOOKUP($D$7,$D$11:$G$99,80,FALSE)&gt;Control_Panel!$G$64,"Slightly Higher",IF(D90-HLOOKUP($D$7,$D$11:$G$99,80,FALSE)&lt;Control_Panel!$J$64,"Lower"," "))))</f>
        <v>Lower</v>
      </c>
      <c r="D90" s="74">
        <f>HLOOKUP(D$11,Data!$B$197:$P$207,2,FALSE)</f>
        <v>0.2712</v>
      </c>
      <c r="E90" s="74">
        <f>HLOOKUP(E$11,Data!$B$197:$P$207,2,FALSE)</f>
        <v>0</v>
      </c>
      <c r="F90" s="74">
        <f>HLOOKUP(F$11,Data!$B$197:$P$207,2,FALSE)</f>
        <v>0</v>
      </c>
      <c r="G90" s="75">
        <f>HLOOKUP(G$11,Data!$B$197:$P$207,2,FALSE)</f>
        <v>0.33260000000000001</v>
      </c>
      <c r="H90" s="81"/>
    </row>
    <row r="91" spans="1:9" ht="30" x14ac:dyDescent="0.25">
      <c r="A91" s="155" t="s">
        <v>246</v>
      </c>
      <c r="B91" s="120" t="s">
        <v>86</v>
      </c>
      <c r="C91" s="33" t="str">
        <f>IF(D91-HLOOKUP($D$7,$D$11:$G$99,81,FALSE)&gt;Control_Panel!$I$65,"Much Higher",IF(D91-HLOOKUP($D$7,$D$11:$G$99,81,FALSE)&gt;Control_Panel!$H$65,"Higher",IF(D91-HLOOKUP($D$7,$D$11:$G$99,81,FALSE)&gt;Control_Panel!$G$65,"Slightly Higher",IF(D91-HLOOKUP($D$7,$D$11:$G$99,81,FALSE)&lt;Control_Panel!$J$65,"Lower"," "))))</f>
        <v>Lower</v>
      </c>
      <c r="D91" s="74">
        <f>HLOOKUP(D$11,Data!$B$197:$P$207,3,FALSE)</f>
        <v>0.27060000000000001</v>
      </c>
      <c r="E91" s="74">
        <f>HLOOKUP(E$11,Data!$B$197:$P$207,3,FALSE)</f>
        <v>0</v>
      </c>
      <c r="F91" s="74">
        <f>HLOOKUP(F$11,Data!$B$197:$P$207,3,FALSE)</f>
        <v>0</v>
      </c>
      <c r="G91" s="75">
        <f>HLOOKUP(G$11,Data!$B$197:$P$207,3,FALSE)</f>
        <v>0.34049999999999997</v>
      </c>
      <c r="H91" s="81"/>
    </row>
    <row r="92" spans="1:9" x14ac:dyDescent="0.25">
      <c r="A92" s="155" t="s">
        <v>246</v>
      </c>
      <c r="B92" s="121" t="s">
        <v>232</v>
      </c>
      <c r="C92" s="33" t="str">
        <f>IF(D92-HLOOKUP($D$7,$D$11:$G$99,82,FALSE)&gt;Control_Panel!$I$66,"Much Higher",IF(D92-HLOOKUP($D$7,$D$11:$G$99,82,FALSE)&gt;Control_Panel!$H$66,"Higher",IF(D92-HLOOKUP($D$7,$D$11:$G$99,82,FALSE)&gt;Control_Panel!$G$66,"Slightly Higher",IF(D92-HLOOKUP($D$7,$D$11:$G$99,82,FALSE)&lt;Control_Panel!$J$66,"Lower"," "))))</f>
        <v>Slightly Higher</v>
      </c>
      <c r="D92" s="74">
        <f>HLOOKUP(D$11,Data!$B$197:$P$207,4,FALSE)</f>
        <v>0.36180000000000001</v>
      </c>
      <c r="E92" s="74">
        <f>HLOOKUP(E$11,Data!$B$197:$P$207,4,FALSE)</f>
        <v>0</v>
      </c>
      <c r="F92" s="74">
        <f>HLOOKUP(F$11,Data!$B$197:$P$207,4,FALSE)</f>
        <v>0</v>
      </c>
      <c r="G92" s="75">
        <f>HLOOKUP(G$11,Data!$B$197:$P$207,4,FALSE)</f>
        <v>0.27449999999999997</v>
      </c>
      <c r="H92" s="81"/>
    </row>
    <row r="93" spans="1:9" ht="30" x14ac:dyDescent="0.25">
      <c r="A93" s="155" t="s">
        <v>246</v>
      </c>
      <c r="B93" s="120" t="s">
        <v>88</v>
      </c>
      <c r="C93" s="33" t="str">
        <f>IF(HLOOKUP($D$7,$D$11:$G$99,83,FALSE)=0,"n/a",IF(D93/HLOOKUP($D$7,$D$11:$G$99,83,FALSE)&gt;Control_Panel!$I$67,"Much Higher",IF(D93/HLOOKUP($D$7,$D$11:$G$99,83,FALSE)&gt;Control_Panel!$H$67,"Higher",IF(D93/HLOOKUP($D$7,$D$11:$G$99,83,FALSE)&gt;Control_Panel!$G$67,"Slightly Higher",IF(D93/HLOOKUP($D$7,$D$11:$G$99,83,FALSE)&lt;Control_Panel!$J$67,"Lower"," ")))))</f>
        <v>Lower</v>
      </c>
      <c r="D93" s="74">
        <f>HLOOKUP(D$11,Data!$B$197:$P$207,5,FALSE)</f>
        <v>0</v>
      </c>
      <c r="E93" s="74">
        <f>HLOOKUP(E$11,Data!$B$197:$P$207,5,FALSE)</f>
        <v>0</v>
      </c>
      <c r="F93" s="74">
        <f>HLOOKUP(F$11,Data!$B$197:$P$207,5,FALSE)</f>
        <v>0</v>
      </c>
      <c r="G93" s="75">
        <f>HLOOKUP(G$11,Data!$B$197:$P$207,5,FALSE)</f>
        <v>1.47E-2</v>
      </c>
      <c r="H93" s="81"/>
    </row>
    <row r="94" spans="1:9" ht="30" x14ac:dyDescent="0.25">
      <c r="A94" s="155" t="s">
        <v>246</v>
      </c>
      <c r="B94" s="120" t="s">
        <v>89</v>
      </c>
      <c r="C94" s="33" t="str">
        <f>IF(D94-HLOOKUP($D$7,$D$11:$G$99,84,FALSE)&gt;Control_Panel!$I$68,"Much Higher",IF(D94-HLOOKUP($D$7,$D$11:$G$99,84,FALSE)&gt;Control_Panel!$H$68,"Higher",IF(D94-HLOOKUP($D$7,$D$11:$G$99,84,FALSE)&gt;Control_Panel!$G$68,"Slightly Higher",IF(D94-HLOOKUP($D$7,$D$11:$G$99,84,FALSE)&lt;Control_Panel!$J$68,"Lower"," "))))</f>
        <v>Lower</v>
      </c>
      <c r="D94" s="74">
        <f>HLOOKUP(D$11,Data!$B$197:$P$207,6,FALSE)</f>
        <v>0.50979407332998494</v>
      </c>
      <c r="E94" s="74">
        <f>HLOOKUP(E$11,Data!$B$197:$P$207,6,FALSE)</f>
        <v>0</v>
      </c>
      <c r="F94" s="74">
        <f>HLOOKUP(F$11,Data!$B$197:$P$207,6,FALSE)</f>
        <v>0</v>
      </c>
      <c r="G94" s="75">
        <f>HLOOKUP(G$11,Data!$B$197:$P$207,6,FALSE)</f>
        <v>1</v>
      </c>
      <c r="H94" s="81"/>
    </row>
    <row r="95" spans="1:9" x14ac:dyDescent="0.25">
      <c r="A95" s="155" t="s">
        <v>246</v>
      </c>
      <c r="B95" s="120" t="s">
        <v>91</v>
      </c>
      <c r="C95" s="33" t="str">
        <f>IF(D95-HLOOKUP($D$7,$D$11:$G$99,85,FALSE)&gt;Control_Panel!$I$69,"Much Higher",IF(D95-HLOOKUP($D$7,$D$11:$G$99,85,FALSE)&gt;Control_Panel!$H$69,"Higher",IF(D95-HLOOKUP($D$7,$D$11:$G$99,85,FALSE)&gt;Control_Panel!$G$69,"Slightly Higher",IF(D95-HLOOKUP($D$7,$D$11:$G$99,85,FALSE)&lt;Control_Panel!$J$69,"Lower"," "))))</f>
        <v>Lower</v>
      </c>
      <c r="D95" s="74">
        <f>HLOOKUP(D$11,Data!$B$197:$P$207,7,FALSE)</f>
        <v>4.4999999999999998E-2</v>
      </c>
      <c r="E95" s="74">
        <f>HLOOKUP(E$11,Data!$B$197:$P$207,7,FALSE)</f>
        <v>0</v>
      </c>
      <c r="F95" s="74">
        <f>HLOOKUP(F$11,Data!$B$197:$P$207,7,FALSE)</f>
        <v>0</v>
      </c>
      <c r="G95" s="75">
        <f>HLOOKUP(G$11,Data!$B$197:$P$207,7,FALSE)</f>
        <v>0.14480000000000001</v>
      </c>
      <c r="H95" s="81"/>
    </row>
    <row r="96" spans="1:9" x14ac:dyDescent="0.25">
      <c r="A96" s="155" t="s">
        <v>246</v>
      </c>
      <c r="B96" s="121" t="s">
        <v>233</v>
      </c>
      <c r="C96" s="33" t="str">
        <f>IF(D96-HLOOKUP($D$7,$D$11:$G$99,86,FALSE)&gt;Control_Panel!$I$69,"Much Higher",IF(D96-HLOOKUP($D$7,$D$11:$G$99,86,FALSE)&gt;Control_Panel!$H$69,"Higher",IF(D96-HLOOKUP($D$7,$D$11:$G$99,86,FALSE)&gt;Control_Panel!$G$69,"Slightly Higher",IF(D96-HLOOKUP($D$7,$D$11:$G$99,86,FALSE)&lt;Control_Panel!$J$69,"Lower"," "))))</f>
        <v>Lower</v>
      </c>
      <c r="D96" s="74">
        <f>HLOOKUP(D$11,Data!$B$197:$P$207,8,FALSE)</f>
        <v>9.9600000000000008E-2</v>
      </c>
      <c r="E96" s="74">
        <f>HLOOKUP(E$11,Data!$B$197:$P$207,8,FALSE)</f>
        <v>0</v>
      </c>
      <c r="F96" s="74">
        <f>HLOOKUP(F$11,Data!$B$197:$P$207,8,FALSE)</f>
        <v>0</v>
      </c>
      <c r="G96" s="75">
        <f>HLOOKUP(G$11,Data!$B$197:$P$207,8,FALSE)</f>
        <v>0.28089999999999998</v>
      </c>
      <c r="H96" s="81"/>
    </row>
    <row r="97" spans="1:9" x14ac:dyDescent="0.25">
      <c r="A97" s="155" t="s">
        <v>246</v>
      </c>
      <c r="B97" s="121" t="s">
        <v>234</v>
      </c>
      <c r="C97" s="33" t="str">
        <f>IF(D97-HLOOKUP($D$7,$D$11:$G$99,87,FALSE)&gt;Control_Panel!$I$69,"Much Higher",IF(D97-HLOOKUP($D$7,$D$11:$G$99,87,FALSE)&gt;Control_Panel!$H$69,"Higher",IF(D97-HLOOKUP($D$7,$D$11:$G$99,87,FALSE)&gt;Control_Panel!$G$69,"Slightly Higher",IF(D97-HLOOKUP($D$7,$D$11:$G$99,87,FALSE)&lt;Control_Panel!$J$69,"Lower"," "))))</f>
        <v>Lower</v>
      </c>
      <c r="D97" s="74">
        <f>HLOOKUP(D$11,Data!$B$197:$P$207,9,FALSE)</f>
        <v>0.21210000000000001</v>
      </c>
      <c r="E97" s="74">
        <f>HLOOKUP(E$11,Data!$B$197:$P$207,9,FALSE)</f>
        <v>0</v>
      </c>
      <c r="F97" s="74">
        <f>HLOOKUP(F$11,Data!$B$197:$P$207,9,FALSE)</f>
        <v>0</v>
      </c>
      <c r="G97" s="75">
        <f>HLOOKUP(G$11,Data!$B$197:$P$207,9,FALSE)</f>
        <v>0.3861</v>
      </c>
      <c r="H97" s="81"/>
      <c r="I97"/>
    </row>
    <row r="98" spans="1:9" x14ac:dyDescent="0.25">
      <c r="A98" s="155" t="s">
        <v>246</v>
      </c>
      <c r="B98" s="120" t="s">
        <v>94</v>
      </c>
      <c r="C98" s="33" t="str">
        <f>IF(D98-HLOOKUP($D$7,$D$11:$G$99,88,FALSE)&gt;Control_Panel!$I$69,"Much Higher",IF(D98-HLOOKUP($D$7,$D$11:$G$99,88,FALSE)&gt;Control_Panel!$H$69,"Higher",IF(D98-HLOOKUP($D$7,$D$11:$G$99,88,FALSE)&gt;Control_Panel!$G$69,"Slightly Higher",IF(D98-HLOOKUP($D$7,$D$11:$G$99,88,FALSE)&lt;Control_Panel!$J$69,"Lower"," "))))</f>
        <v>Much Higher</v>
      </c>
      <c r="D98" s="74">
        <f>HLOOKUP(D$11,Data!$B$197:$P$207,10,FALSE)</f>
        <v>0.64329999999999998</v>
      </c>
      <c r="E98" s="74">
        <f>HLOOKUP(E$11,Data!$B$197:$P$207,10,FALSE)</f>
        <v>0</v>
      </c>
      <c r="F98" s="74">
        <f>HLOOKUP(F$11,Data!$B$197:$P$207,10,FALSE)</f>
        <v>0</v>
      </c>
      <c r="G98" s="75">
        <f>HLOOKUP(G$11,Data!$B$197:$P$207,10,FALSE)</f>
        <v>0.18820000000000001</v>
      </c>
      <c r="H98" s="81"/>
      <c r="I98"/>
    </row>
    <row r="99" spans="1:9" ht="30.75" thickBot="1" x14ac:dyDescent="0.3">
      <c r="A99" s="155" t="s">
        <v>246</v>
      </c>
      <c r="B99" s="122" t="s">
        <v>90</v>
      </c>
      <c r="C99" s="123" t="s">
        <v>119</v>
      </c>
      <c r="D99" s="124">
        <f>HLOOKUP(D$11,Data!$B$197:$P$207,11,FALSE)</f>
        <v>1946</v>
      </c>
      <c r="E99" s="124">
        <f>HLOOKUP(E$11,Data!$B$197:$P$207,11,FALSE)</f>
        <v>0</v>
      </c>
      <c r="F99" s="124">
        <f>HLOOKUP(F$11,Data!$B$197:$P$207,11,FALSE)</f>
        <v>0</v>
      </c>
      <c r="G99" s="125">
        <f>HLOOKUP(G$11,Data!$B$197:$P$207,11,FALSE)</f>
        <v>1974</v>
      </c>
      <c r="H99" s="81"/>
      <c r="I99"/>
    </row>
    <row r="100" spans="1:9" x14ac:dyDescent="0.25">
      <c r="A100" s="155" t="s">
        <v>246</v>
      </c>
    </row>
  </sheetData>
  <autoFilter ref="A11:A100"/>
  <mergeCells count="3">
    <mergeCell ref="B4:F4"/>
    <mergeCell ref="B89:D89"/>
    <mergeCell ref="A11:B11"/>
  </mergeCells>
  <conditionalFormatting sqref="G11:G99">
    <cfRule type="expression" dxfId="6" priority="7">
      <formula>$G$11=$D$7</formula>
    </cfRule>
  </conditionalFormatting>
  <conditionalFormatting sqref="E11:E99">
    <cfRule type="expression" dxfId="5" priority="6">
      <formula>$E$11=$D$7</formula>
    </cfRule>
  </conditionalFormatting>
  <conditionalFormatting sqref="F11:F99">
    <cfRule type="expression" dxfId="4" priority="5">
      <formula>$F$11=$D$7</formula>
    </cfRule>
  </conditionalFormatting>
  <conditionalFormatting sqref="D13:D88 D90:D99">
    <cfRule type="expression" dxfId="3" priority="1">
      <formula>LEFT(C13)="M"</formula>
    </cfRule>
    <cfRule type="expression" dxfId="2" priority="2">
      <formula>LEFT(C13)="H"</formula>
    </cfRule>
    <cfRule type="expression" dxfId="1" priority="3">
      <formula>LEFT(C13)="S"</formula>
    </cfRule>
    <cfRule type="expression" dxfId="0" priority="4">
      <formula>LEFT(C13)="L"</formula>
    </cfRule>
  </conditionalFormatting>
  <dataValidations count="2">
    <dataValidation type="list" showInputMessage="1" showErrorMessage="1" sqref="D7">
      <formula1>S2comp</formula1>
    </dataValidation>
    <dataValidation type="list" allowBlank="1" showInputMessage="1" showErrorMessage="1" sqref="E11:F11">
      <formula1>Geographies</formula1>
    </dataValidation>
  </dataValidations>
  <pageMargins left="0.7" right="0.7" top="0.75" bottom="0.75" header="0.3" footer="0.3"/>
  <pageSetup scale="63" fitToHeight="2"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Data!$B$6:$P$6</xm:f>
          </x14:formula1>
          <xm:sqref>E12:F12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33"/>
  <sheetViews>
    <sheetView workbookViewId="0">
      <pane ySplit="9" topLeftCell="A10" activePane="bottomLeft" state="frozen"/>
      <selection pane="bottomLeft" activeCell="A5" sqref="A5"/>
    </sheetView>
  </sheetViews>
  <sheetFormatPr defaultRowHeight="15" x14ac:dyDescent="0.25"/>
  <cols>
    <col min="1" max="1" width="21.28515625" customWidth="1"/>
    <col min="2" max="2" width="28.7109375" customWidth="1"/>
    <col min="3" max="3" width="21.28515625" customWidth="1"/>
    <col min="4" max="4" width="13.140625" customWidth="1"/>
    <col min="5" max="5" width="6.7109375" bestFit="1" customWidth="1"/>
    <col min="6" max="6" width="21.28515625" customWidth="1"/>
    <col min="7" max="7" width="13" customWidth="1"/>
  </cols>
  <sheetData>
    <row r="1" spans="1:7" hidden="1" x14ac:dyDescent="0.25">
      <c r="A1" s="1"/>
      <c r="B1" s="1"/>
      <c r="C1" s="1"/>
      <c r="D1" s="1"/>
      <c r="E1" s="1"/>
      <c r="F1" s="1"/>
      <c r="G1" s="1"/>
    </row>
    <row r="2" spans="1:7" hidden="1" x14ac:dyDescent="0.25">
      <c r="A2" s="1"/>
      <c r="B2" s="1"/>
      <c r="C2" s="1"/>
      <c r="D2" s="1"/>
      <c r="E2" s="1"/>
      <c r="F2" s="1"/>
    </row>
    <row r="3" spans="1:7" x14ac:dyDescent="0.25">
      <c r="A3" s="1" t="s">
        <v>182</v>
      </c>
      <c r="B3" s="1" t="s">
        <v>183</v>
      </c>
      <c r="C3" s="1"/>
      <c r="D3" s="1"/>
      <c r="E3" s="1"/>
      <c r="F3" s="1"/>
    </row>
    <row r="4" spans="1:7" ht="61.5" customHeight="1" x14ac:dyDescent="0.25">
      <c r="A4" s="214" t="s">
        <v>235</v>
      </c>
      <c r="B4" s="214"/>
      <c r="C4" s="214"/>
      <c r="D4" s="214"/>
      <c r="E4" s="214"/>
      <c r="F4" s="214"/>
    </row>
    <row r="5" spans="1:7" ht="15.75" thickBot="1" x14ac:dyDescent="0.3">
      <c r="A5" s="43"/>
      <c r="B5" s="43"/>
      <c r="C5" s="43"/>
      <c r="D5" s="43"/>
      <c r="E5" s="43"/>
    </row>
    <row r="6" spans="1:7" x14ac:dyDescent="0.25">
      <c r="A6" s="11" t="s">
        <v>188</v>
      </c>
      <c r="B6" s="12" t="s">
        <v>260</v>
      </c>
      <c r="C6" s="13" t="s">
        <v>261</v>
      </c>
      <c r="D6" s="43"/>
      <c r="E6" s="43"/>
    </row>
    <row r="7" spans="1:7" ht="15.75" thickBot="1" x14ac:dyDescent="0.3">
      <c r="A7" s="134" t="str">
        <f>Control_Panel!E16</f>
        <v>For Tract 30111000300</v>
      </c>
      <c r="B7" s="132" t="s">
        <v>24</v>
      </c>
      <c r="C7" s="133"/>
    </row>
    <row r="8" spans="1:7" ht="15.75" thickBot="1" x14ac:dyDescent="0.3">
      <c r="C8" s="5"/>
      <c r="D8" s="5"/>
      <c r="F8" s="5"/>
      <c r="G8" s="5"/>
    </row>
    <row r="9" spans="1:7" ht="15.75" thickBot="1" x14ac:dyDescent="0.3">
      <c r="A9" s="54" t="s">
        <v>184</v>
      </c>
      <c r="B9" s="55" t="s">
        <v>185</v>
      </c>
      <c r="C9" s="219" t="s">
        <v>186</v>
      </c>
      <c r="D9" s="219"/>
      <c r="E9" s="56"/>
      <c r="F9" s="219" t="s">
        <v>187</v>
      </c>
      <c r="G9" s="220"/>
    </row>
    <row r="10" spans="1:7" ht="30.75" thickBot="1" x14ac:dyDescent="0.3">
      <c r="A10" s="88" t="s">
        <v>189</v>
      </c>
      <c r="B10" s="89" t="s">
        <v>198</v>
      </c>
      <c r="C10" s="90" t="s">
        <v>200</v>
      </c>
      <c r="D10" s="82">
        <f>HLOOKUP($A$7,Data!$B$6:$P$201,27,FALSE)+ABS(HLOOKUP("NATION",Data!$B$6:$P$201,27,FALSE)-HLOOKUP($A$7,Data!$B$6:$P$201,27,FALSE))/2</f>
        <v>2.2311581288032567E-2</v>
      </c>
      <c r="E10" s="90"/>
      <c r="F10" s="90" t="s">
        <v>200</v>
      </c>
      <c r="G10" s="85" t="e">
        <f>HLOOKUP($A$7,Data!$B$6:$P$201,27,FALSE)+ABS(HLOOKUP($C$7,Data!$B$6:$P$201,27,FALSE)-HLOOKUP($A$7,Data!$B$6:$P$201,27,FALSE))/2</f>
        <v>#N/A</v>
      </c>
    </row>
    <row r="11" spans="1:7" ht="30.75" thickBot="1" x14ac:dyDescent="0.3">
      <c r="A11" s="167" t="s">
        <v>101</v>
      </c>
      <c r="B11" s="160" t="s">
        <v>197</v>
      </c>
      <c r="C11" s="161" t="s">
        <v>200</v>
      </c>
      <c r="D11" s="162">
        <f>HLOOKUP($A$7,Data!$B$6:$P$201,28,FALSE)+ABS(HLOOKUP("NATION",Data!$B$6:$P$201,28,FALSE)-HLOOKUP($A$7,Data!$B$6:$P$201,28,FALSE))/2</f>
        <v>4.7487083349259954E-2</v>
      </c>
      <c r="E11" s="161"/>
      <c r="F11" s="161" t="s">
        <v>200</v>
      </c>
      <c r="G11" s="163" t="e">
        <f>HLOOKUP($A$7,Data!$B$6:$P$201,28,FALSE)+ABS(HLOOKUP($C$7,Data!$B$6:$P$201,28,FALSE)-HLOOKUP($A$7,Data!$B$6:$P$201,28,FALSE))/2</f>
        <v>#N/A</v>
      </c>
    </row>
    <row r="12" spans="1:7" x14ac:dyDescent="0.25">
      <c r="A12" s="221" t="s">
        <v>118</v>
      </c>
      <c r="B12" s="91" t="s">
        <v>199</v>
      </c>
      <c r="C12" s="92" t="s">
        <v>200</v>
      </c>
      <c r="D12" s="93">
        <f>HLOOKUP($A$7,Data!$B$6:$P$201,29,FALSE)+ABS(HLOOKUP("NATION",Data!$B$6:$P$201,29,FALSE)-HLOOKUP($A$7,Data!$B$6:$P$201,29,FALSE))/2</f>
        <v>0.46600000000000008</v>
      </c>
      <c r="E12" s="92"/>
      <c r="F12" s="92" t="s">
        <v>200</v>
      </c>
      <c r="G12" s="94" t="e">
        <f>HLOOKUP($A$7,Data!$B$6:$P$201,29,FALSE)+ABS(HLOOKUP($C$7,Data!$B$6:$P$201,29,FALSE)-HLOOKUP($A$7,Data!$B$6:$P$201,29,FALSE))/2</f>
        <v>#N/A</v>
      </c>
    </row>
    <row r="13" spans="1:7" ht="30" x14ac:dyDescent="0.25">
      <c r="A13" s="222"/>
      <c r="B13" s="164" t="s">
        <v>248</v>
      </c>
      <c r="C13" s="165" t="s">
        <v>201</v>
      </c>
      <c r="D13" s="166">
        <f>MAX(0,(HLOOKUP($A$7,Data!$B$6:$P$201,111,FALSE)/(HLOOKUP($A$7,Data!$B$6:$P$201,36,FALSE)+HLOOKUP($A$7,Data!$B$6:$P$201,16,FALSE)+HLOOKUP($A$7,Data!$B$6:$P$201,17,FALSE)))-ABS((HLOOKUP("NATION",Data!$B$6:$P$201,111,FALSE)/(HLOOKUP("NATION",Data!$B$6:$P$201,36,FALSE)+HLOOKUP("NATION",Data!$B$6:$P$201,16,FALSE)+HLOOKUP("NATION",Data!$B$6:$P$201,17,FALSE)))-(HLOOKUP($A$7,Data!$B$6:$P$201,111,FALSE)/(HLOOKUP($A$7,Data!$B$6:$P$201,36,FALSE)+HLOOKUP($A$7,Data!$B$6:$P$201,16,FALSE)+HLOOKUP($A$7,Data!$B$6:$P$201,17,FALSE))))/2)</f>
        <v>0.11562161357581389</v>
      </c>
      <c r="E13" s="165"/>
      <c r="F13" s="165" t="s">
        <v>201</v>
      </c>
      <c r="G13" s="168" t="e">
        <f>MAX(0,(HLOOKUP($A$7,Data!$B$6:$P$201,111,FALSE)/(HLOOKUP($A$7,Data!$B$6:$P$201,36,FALSE)+HLOOKUP($A$7,Data!$B$6:$P$201,16,FALSE)+HLOOKUP($A$7,Data!$B$6:$P$201,17,FALSE)))-ABS((HLOOKUP($C$7,Data!$B$6:$P$201,111,FALSE)/(HLOOKUP($C$7,Data!$B$6:$P$201,36,FALSE)+HLOOKUP($C$7,Data!$B$6:$P$201,16,FALSE)+HLOOKUP($C$7,Data!$B$6:$P$201,17,FALSE)))-(HLOOKUP($A$7,Data!$B$6:$P$201,111,FALSE)/(HLOOKUP($A$7,Data!$B$6:$P$201,36,FALSE)+HLOOKUP($A$7,Data!$B$6:$P$201,16,FALSE)+HLOOKUP($A$7,Data!$B$6:$P$201,17,FALSE))))/2)</f>
        <v>#N/A</v>
      </c>
    </row>
    <row r="14" spans="1:7" ht="30" x14ac:dyDescent="0.25">
      <c r="A14" s="222"/>
      <c r="B14" s="164" t="s">
        <v>249</v>
      </c>
      <c r="C14" s="165" t="s">
        <v>201</v>
      </c>
      <c r="D14" s="166">
        <f>MAX(0,(HLOOKUP($A$7,Data!$B$6:$P$201,112,FALSE)/(HLOOKUP($A$7,Data!$B$6:$P$201,36,FALSE)+HLOOKUP($A$7,Data!$B$6:$P$201,16,FALSE)+HLOOKUP($A$7,Data!$B$6:$P$201,17,FALSE)))-ABS((HLOOKUP("NATION",Data!$B$6:$P$201,112,FALSE)/(HLOOKUP("NATION",Data!$B$6:$P$201,36,FALSE)+HLOOKUP("NATION",Data!$B$6:$P$201,16,FALSE)+HLOOKUP("NATION",Data!$B$6:$P$201,17,FALSE)))-(HLOOKUP($A$7,Data!$B$6:$P$201,112,FALSE)/(HLOOKUP($A$7,Data!$B$6:$P$201,36,FALSE)+HLOOKUP($A$7,Data!$B$6:$P$201,16,FALSE)+HLOOKUP($A$7,Data!$B$6:$P$201,17,FALSE))))/2)</f>
        <v>0.33687597364915767</v>
      </c>
      <c r="E14" s="165"/>
      <c r="F14" s="165" t="s">
        <v>201</v>
      </c>
      <c r="G14" s="168" t="e">
        <f>MAX(0,(HLOOKUP($A$7,Data!$B$6:$P$201,112,FALSE)/(HLOOKUP($A$7,Data!$B$6:$P$201,36,FALSE)+HLOOKUP($A$7,Data!$B$6:$P$201,16,FALSE)+HLOOKUP($A$7,Data!$B$6:$P$201,17,FALSE)))-ABS((HLOOKUP($C$7,Data!$B$6:$P$201,112,FALSE)/(HLOOKUP($C$7,Data!$B$6:$P$201,36,FALSE)+HLOOKUP($C$7,Data!$B$6:$P$201,16,FALSE)+HLOOKUP($C$7,Data!$B$6:$P$201,17,FALSE)))-(HLOOKUP($A$7,Data!$B$6:$P$201,112,FALSE)/(HLOOKUP($A$7,Data!$B$6:$P$201,36,FALSE)+HLOOKUP($A$7,Data!$B$6:$P$201,16,FALSE)+HLOOKUP($A$7,Data!$B$6:$P$201,17,FALSE))))/2)</f>
        <v>#N/A</v>
      </c>
    </row>
    <row r="15" spans="1:7" ht="30" x14ac:dyDescent="0.25">
      <c r="A15" s="222"/>
      <c r="B15" s="164" t="s">
        <v>250</v>
      </c>
      <c r="C15" s="165" t="s">
        <v>201</v>
      </c>
      <c r="D15" s="166">
        <f>MAX(0,(HLOOKUP($A$7,Data!$B$6:$P$201,113,FALSE)/(HLOOKUP($A$7,Data!$B$6:$P$201,36,FALSE)+HLOOKUP($A$7,Data!$B$6:$P$201,16,FALSE)+HLOOKUP($A$7,Data!$B$6:$P$201,17,FALSE)))-ABS((HLOOKUP("NATION",Data!$B$6:$P$201,113,FALSE)/(HLOOKUP("NATION",Data!$B$6:$P$201,36,FALSE)+HLOOKUP("NATION",Data!$B$6:$P$201,16,FALSE)+HLOOKUP("NATION",Data!$B$6:$P$201,17,FALSE)))-(HLOOKUP($A$7,Data!$B$6:$P$201,113,FALSE)/(HLOOKUP($A$7,Data!$B$6:$P$201,36,FALSE)+HLOOKUP($A$7,Data!$B$6:$P$201,16,FALSE)+HLOOKUP($A$7,Data!$B$6:$P$201,17,FALSE))))/2)</f>
        <v>0.70508212737686082</v>
      </c>
      <c r="E15" s="165"/>
      <c r="F15" s="165" t="s">
        <v>201</v>
      </c>
      <c r="G15" s="168" t="e">
        <f>MAX(0,(HLOOKUP($A$7,Data!$B$6:$P$201,113,FALSE)/(HLOOKUP($A$7,Data!$B$6:$P$201,36,FALSE)+HLOOKUP($A$7,Data!$B$6:$P$201,16,FALSE)+HLOOKUP($A$7,Data!$B$6:$P$201,17,FALSE)))-ABS((HLOOKUP($C$7,Data!$B$6:$P$201,113,FALSE)/(HLOOKUP($C$7,Data!$B$6:$P$201,36,FALSE)+HLOOKUP($C$7,Data!$B$6:$P$201,16,FALSE)+HLOOKUP($C$7,Data!$B$6:$P$201,17,FALSE)))-(HLOOKUP($A$7,Data!$B$6:$P$201,113,FALSE)/(HLOOKUP($A$7,Data!$B$6:$P$201,36,FALSE)+HLOOKUP($A$7,Data!$B$6:$P$201,16,FALSE)+HLOOKUP($A$7,Data!$B$6:$P$201,17,FALSE))))/2)</f>
        <v>#N/A</v>
      </c>
    </row>
    <row r="16" spans="1:7" ht="30" x14ac:dyDescent="0.25">
      <c r="A16" s="222"/>
      <c r="B16" s="164" t="s">
        <v>251</v>
      </c>
      <c r="C16" s="165" t="s">
        <v>201</v>
      </c>
      <c r="D16" s="166">
        <f>MAX(0,(HLOOKUP($A$7,Data!$B$6:$P$201,100,FALSE)/(HLOOKUP($A$7,Data!$B$6:$P$201,35,FALSE)+HLOOKUP($A$7,Data!$B$6:$P$201,13,FALSE)+HLOOKUP($A$7,Data!$B$6:$P$201,14,FALSE)))-ABS((HLOOKUP("NATION",Data!$B$6:$P$201,100,FALSE)/(HLOOKUP("NATION",Data!$B$6:$P$201,35,FALSE)+HLOOKUP("NATION",Data!$B$6:$P$201,13,FALSE)+HLOOKUP("NATION",Data!$B$6:$P$201,14,FALSE)))-(HLOOKUP($A$7,Data!$B$6:$P$201,100,FALSE)/(HLOOKUP($A$7,Data!$B$6:$P$201,35,FALSE)+HLOOKUP($A$7,Data!$B$6:$P$201,13,FALSE)+HLOOKUP($A$7,Data!$B$6:$P$201,14,FALSE))))/2)</f>
        <v>0.14866854663028825</v>
      </c>
      <c r="E16" s="165"/>
      <c r="F16" s="165" t="s">
        <v>201</v>
      </c>
      <c r="G16" s="168" t="e">
        <f>MAX(0,(HLOOKUP($A$7,Data!$B$6:$P$201,100,FALSE)/(HLOOKUP($A$7,Data!$B$6:$P$201,35,FALSE)+HLOOKUP($A$7,Data!$B$6:$P$201,13,FALSE)+HLOOKUP($A$7,Data!$B$6:$P$201,14,FALSE)))-ABS((HLOOKUP($C$7,Data!$B$6:$P$201,100,FALSE)/(HLOOKUP($C$7,Data!$B$6:$P$201,35,FALSE)+HLOOKUP($C$7,Data!$B$6:$P$201,13,FALSE)+HLOOKUP($C$7,Data!$B$6:$P$201,14,FALSE)))-(HLOOKUP($A$7,Data!$B$6:$P$201,100,FALSE)/(HLOOKUP($A$7,Data!$B$6:$P$201,35,FALSE)+HLOOKUP($A$7,Data!$B$6:$P$201,13,FALSE)+HLOOKUP($A$7,Data!$B$6:$P$201,14,FALSE))))/2)</f>
        <v>#N/A</v>
      </c>
    </row>
    <row r="17" spans="1:7" ht="30" x14ac:dyDescent="0.25">
      <c r="A17" s="222"/>
      <c r="B17" s="164" t="s">
        <v>252</v>
      </c>
      <c r="C17" s="165" t="s">
        <v>201</v>
      </c>
      <c r="D17" s="166">
        <f>MAX(0,(HLOOKUP($A$7,Data!$B$6:$P$201,101,FALSE)/(HLOOKUP($A$7,Data!$B$6:$P$201,35,FALSE)+HLOOKUP($A$7,Data!$B$6:$P$201,13,FALSE)+HLOOKUP($A$7,Data!$B$6:$P$201,14,FALSE)))-ABS((HLOOKUP("NATION",Data!$B$6:$P$201,101,FALSE)/(HLOOKUP("NATION",Data!$B$6:$P$201,35,FALSE)+HLOOKUP("NATION",Data!$B$6:$P$201,13,FALSE)+HLOOKUP("NATION",Data!$B$6:$P$201,14,FALSE)))-(HLOOKUP($A$7,Data!$B$6:$P$201,101,FALSE)/(HLOOKUP($A$7,Data!$B$6:$P$201,35,FALSE)+HLOOKUP($A$7,Data!$B$6:$P$201,13,FALSE)+HLOOKUP($A$7,Data!$B$6:$P$201,14,FALSE))))/2)</f>
        <v>0.37875706686620747</v>
      </c>
      <c r="E17" s="165"/>
      <c r="F17" s="165" t="s">
        <v>201</v>
      </c>
      <c r="G17" s="168" t="e">
        <f>MAX(0,(HLOOKUP($A$7,Data!$B$6:$P$201,101,FALSE)/(HLOOKUP($A$7,Data!$B$6:$P$201,35,FALSE)+HLOOKUP($A$7,Data!$B$6:$P$201,13,FALSE)+HLOOKUP($A$7,Data!$B$6:$P$201,14,FALSE)))-ABS((HLOOKUP($C$7,Data!$B$6:$P$201,101,FALSE)/(HLOOKUP($C$7,Data!$B$6:$P$201,35,FALSE)+HLOOKUP($C$7,Data!$B$6:$P$201,13,FALSE)+HLOOKUP($C$7,Data!$B$6:$P$201,14,FALSE)))-(HLOOKUP($A$7,Data!$B$6:$P$201,101,FALSE)/(HLOOKUP($A$7,Data!$B$6:$P$201,35,FALSE)+HLOOKUP($A$7,Data!$B$6:$P$201,13,FALSE)+HLOOKUP($A$7,Data!$B$6:$P$201,14,FALSE))))/2)</f>
        <v>#N/A</v>
      </c>
    </row>
    <row r="18" spans="1:7" ht="30.75" thickBot="1" x14ac:dyDescent="0.3">
      <c r="A18" s="223"/>
      <c r="B18" s="169" t="s">
        <v>253</v>
      </c>
      <c r="C18" s="170" t="s">
        <v>201</v>
      </c>
      <c r="D18" s="171">
        <f>MAX(0,(HLOOKUP($A$7,Data!$B$6:$P$201,102,FALSE)/(HLOOKUP($A$7,Data!$B$6:$P$201,35,FALSE)+HLOOKUP($A$7,Data!$B$6:$P$201,13,FALSE)+HLOOKUP($A$7,Data!$B$6:$P$201,14,FALSE)))-ABS((HLOOKUP("NATION",Data!$B$6:$P$201,102,FALSE)/(HLOOKUP("NATION",Data!$B$6:$P$201,35,FALSE)+HLOOKUP("NATION",Data!$B$6:$P$201,13,FALSE)+HLOOKUP("NATION",Data!$B$6:$P$201,14,FALSE)))-(HLOOKUP($A$7,Data!$B$6:$P$201,102,FALSE)/(HLOOKUP($A$7,Data!$B$6:$P$201,35,FALSE)+HLOOKUP($A$7,Data!$B$6:$P$201,13,FALSE)+HLOOKUP($A$7,Data!$B$6:$P$201,14,FALSE))))/2)</f>
        <v>0.46395147021989014</v>
      </c>
      <c r="E18" s="170"/>
      <c r="F18" s="170" t="s">
        <v>201</v>
      </c>
      <c r="G18" s="172" t="e">
        <f>MAX(0,(HLOOKUP($A$7,Data!$B$6:$P$201,102,FALSE)/(HLOOKUP($A$7,Data!$B$6:$P$201,35,FALSE)+HLOOKUP($A$7,Data!$B$6:$P$201,13,FALSE)+HLOOKUP($A$7,Data!$B$6:$P$201,14,FALSE)))-ABS((HLOOKUP($C$7,Data!$B$6:$P$201,102,FALSE)/(HLOOKUP($C$7,Data!$B$6:$P$201,35,FALSE)+HLOOKUP($C$7,Data!$B$6:$P$201,13,FALSE)+HLOOKUP($C$7,Data!$B$6:$P$201,14,FALSE)))-(HLOOKUP($A$7,Data!$B$6:$P$201,102,FALSE)/(HLOOKUP($A$7,Data!$B$6:$P$201,35,FALSE)+HLOOKUP($A$7,Data!$B$6:$P$201,13,FALSE)+HLOOKUP($A$7,Data!$B$6:$P$201,14,FALSE))))/2)</f>
        <v>#N/A</v>
      </c>
    </row>
    <row r="19" spans="1:7" ht="15" customHeight="1" x14ac:dyDescent="0.25">
      <c r="A19" s="224" t="s">
        <v>190</v>
      </c>
      <c r="B19" s="51" t="s">
        <v>254</v>
      </c>
      <c r="C19" s="52" t="s">
        <v>201</v>
      </c>
      <c r="D19" s="83">
        <f>MAX(0,(HLOOKUP($A$7,Data!$B$6:$P$201,4,FALSE)-ABS(HLOOKUP("NATION",Data!$B$6:$P$201,4,FALSE)-HLOOKUP($A$7,Data!$B$6:$P$201,4,FALSE))/2)/100)</f>
        <v>0.21230000000000002</v>
      </c>
      <c r="E19" s="52"/>
      <c r="F19" s="52" t="s">
        <v>201</v>
      </c>
      <c r="G19" s="86" t="e">
        <f>MAX(0,(HLOOKUP($A$7,Data!$B$6:$P$201,4,FALSE)-ABS(HLOOKUP($C$7,Data!$B$6:$P$201,4,FALSE)-HLOOKUP($A$7,Data!$B$6:$P$201,4,FALSE))/2)/100)</f>
        <v>#N/A</v>
      </c>
    </row>
    <row r="20" spans="1:7" ht="45" x14ac:dyDescent="0.25">
      <c r="A20" s="225"/>
      <c r="B20" s="50" t="s">
        <v>191</v>
      </c>
      <c r="C20" s="33" t="s">
        <v>200</v>
      </c>
      <c r="D20" s="74">
        <f>HLOOKUP($A$7,Data!$B$6:$P$201,196,FALSE)+ABS(HLOOKUP("NATION",Data!$B$6:$P$201,196,FALSE)-HLOOKUP($A$7,Data!$B$6:$P$201,196,FALSE))/2</f>
        <v>7.3499999999999998E-3</v>
      </c>
      <c r="E20" s="33"/>
      <c r="F20" s="33" t="s">
        <v>200</v>
      </c>
      <c r="G20" s="75" t="e">
        <f>HLOOKUP($A$7,Data!$B$6:$P$201,196,FALSE)+ABS(HLOOKUP($C$7,Data!$B$6:$P$201,196,FALSE)-HLOOKUP($A$7,Data!$B$6:$P$201,196,FALSE))/2</f>
        <v>#N/A</v>
      </c>
    </row>
    <row r="21" spans="1:7" x14ac:dyDescent="0.25">
      <c r="A21" s="225"/>
      <c r="B21" s="50" t="s">
        <v>0</v>
      </c>
      <c r="C21" s="33" t="s">
        <v>200</v>
      </c>
      <c r="D21" s="74">
        <f>HLOOKUP($A$7,Data!$B$6:$P$201,22,FALSE)+ABS(HLOOKUP("NATION",Data!$B$6:$P$201,22,FALSE)-HLOOKUP($A$7,Data!$B$6:$P$201,22,FALSE))/2</f>
        <v>0.35209999999999997</v>
      </c>
      <c r="E21" s="33"/>
      <c r="F21" s="33" t="s">
        <v>200</v>
      </c>
      <c r="G21" s="75" t="e">
        <f>HLOOKUP($A$7,Data!$B$6:$P$201,22,FALSE)+ABS(HLOOKUP($C$7,Data!$B$6:$P$201,22,FALSE)-HLOOKUP($A$7,Data!$B$6:$P$201,22,FALSE))/2</f>
        <v>#N/A</v>
      </c>
    </row>
    <row r="22" spans="1:7" x14ac:dyDescent="0.25">
      <c r="A22" s="225"/>
      <c r="B22" s="50" t="s">
        <v>192</v>
      </c>
      <c r="C22" s="33" t="s">
        <v>200</v>
      </c>
      <c r="D22" s="74">
        <f>HLOOKUP($A$7,Data!$B$6:$P$201,25,FALSE)+ABS(HLOOKUP("NATION",Data!$B$6:$P$201,25,FALSE)-HLOOKUP($A$7,Data!$B$6:$P$201,25,FALSE))/2</f>
        <v>0.23114999999999999</v>
      </c>
      <c r="E22" s="33"/>
      <c r="F22" s="33" t="s">
        <v>200</v>
      </c>
      <c r="G22" s="75" t="e">
        <f>HLOOKUP($A$7,Data!$B$6:$P$201,25,FALSE)+ABS(HLOOKUP($C$7,Data!$B$6:$P$201,25,FALSE)-HLOOKUP($A$7,Data!$B$6:$P$201,25,FALSE))/2</f>
        <v>#N/A</v>
      </c>
    </row>
    <row r="23" spans="1:7" ht="30" x14ac:dyDescent="0.25">
      <c r="A23" s="225"/>
      <c r="B23" s="50" t="s">
        <v>193</v>
      </c>
      <c r="C23" s="33" t="s">
        <v>200</v>
      </c>
      <c r="D23" s="74">
        <f>HLOOKUP($A$7,Data!$B$6:$P$201,24,FALSE)+ABS(HLOOKUP("NATION",Data!$B$6:$P$201,24,FALSE)-HLOOKUP($A$7,Data!$B$6:$P$201,24,FALSE))/2</f>
        <v>0.10969999999999999</v>
      </c>
      <c r="E23" s="33"/>
      <c r="F23" s="33" t="s">
        <v>200</v>
      </c>
      <c r="G23" s="75" t="e">
        <f>HLOOKUP($A$7,Data!$B$6:$P$201,24,FALSE)+ABS(HLOOKUP($C$7,Data!$B$6:$P$201,24,FALSE)-HLOOKUP($A$7,Data!$B$6:$P$201,24,FALSE))/2</f>
        <v>#N/A</v>
      </c>
    </row>
    <row r="24" spans="1:7" ht="30" x14ac:dyDescent="0.25">
      <c r="A24" s="225"/>
      <c r="B24" s="50" t="s">
        <v>194</v>
      </c>
      <c r="C24" s="33" t="s">
        <v>200</v>
      </c>
      <c r="D24" s="74">
        <f>HLOOKUP($A$7,Data!$B$6:$P$201,193,FALSE)+ABS(HLOOKUP("NATION",Data!$B$6:$P$201,193,FALSE)-HLOOKUP($A$7,Data!$B$6:$P$201,193,FALSE))/2</f>
        <v>0.3019</v>
      </c>
      <c r="E24" s="33"/>
      <c r="F24" s="33" t="s">
        <v>200</v>
      </c>
      <c r="G24" s="75" t="e">
        <f>HLOOKUP($A$7,Data!$B$6:$P$201,193,FALSE)+ABS(HLOOKUP($C$7,Data!$B$6:$P$201,193,FALSE)-HLOOKUP($A$7,Data!$B$6:$P$201,193,FALSE))/2</f>
        <v>#N/A</v>
      </c>
    </row>
    <row r="25" spans="1:7" ht="30" x14ac:dyDescent="0.25">
      <c r="A25" s="225"/>
      <c r="B25" s="50" t="s">
        <v>195</v>
      </c>
      <c r="C25" s="33" t="s">
        <v>200</v>
      </c>
      <c r="D25" s="74">
        <f>HLOOKUP($A$7,Data!$B$6:$P$201,194,FALSE)+ABS(HLOOKUP("NATION",Data!$B$6:$P$201,194,FALSE)-HLOOKUP($A$7,Data!$B$6:$P$201,194,FALSE))/2</f>
        <v>0.30554999999999999</v>
      </c>
      <c r="E25" s="33"/>
      <c r="F25" s="33" t="s">
        <v>200</v>
      </c>
      <c r="G25" s="75" t="e">
        <f>HLOOKUP($A$7,Data!$B$6:$P$201,194,FALSE)+ABS(HLOOKUP($C$7,Data!$B$6:$P$201,194,FALSE)-HLOOKUP($A$7,Data!$B$6:$P$201,194,FALSE))/2</f>
        <v>#N/A</v>
      </c>
    </row>
    <row r="26" spans="1:7" x14ac:dyDescent="0.25">
      <c r="A26" s="225"/>
      <c r="B26" s="173" t="s">
        <v>196</v>
      </c>
      <c r="C26" s="174" t="s">
        <v>200</v>
      </c>
      <c r="D26" s="175">
        <f>HLOOKUP($A$7,Data!$B$6:$P$201,195,FALSE)+ABS(HLOOKUP("NATION",Data!$B$6:$P$201,195,FALSE)-HLOOKUP($A$7,Data!$B$6:$P$201,195,FALSE))/2</f>
        <v>0.40545000000000003</v>
      </c>
      <c r="E26" s="174"/>
      <c r="F26" s="174" t="s">
        <v>200</v>
      </c>
      <c r="G26" s="176" t="e">
        <f>HLOOKUP($A$7,Data!$B$6:$P$201,195,FALSE)+ABS(HLOOKUP($C$7,Data!$B$6:$P$201,195,FALSE)-HLOOKUP($A$7,Data!$B$6:$P$201,195,FALSE))/2</f>
        <v>#N/A</v>
      </c>
    </row>
    <row r="27" spans="1:7" ht="30" x14ac:dyDescent="0.25">
      <c r="A27" s="225"/>
      <c r="B27" s="50" t="s">
        <v>255</v>
      </c>
      <c r="C27" s="33" t="s">
        <v>200</v>
      </c>
      <c r="D27" s="74">
        <f>(HLOOKUP($A$7,Data!$B$6:$P$201,8,FALSE)/HLOOKUP($A$7,Data!$B$6:$P$201,3,FALSE))+ABS((HLOOKUP("NATION",Data!$B$6:$P$201,8,FALSE)/HLOOKUP("NATION",Data!$B$6:$P$201,3,FALSE))-(HLOOKUP($A$7,Data!$B$6:$P$201,8,FALSE)/HLOOKUP($A$7,Data!$B$6:$P$201,3,FALSE)))/2</f>
        <v>0.22345713971850345</v>
      </c>
      <c r="E27" s="33"/>
      <c r="F27" s="33" t="s">
        <v>200</v>
      </c>
      <c r="G27" s="75" t="e">
        <f>(HLOOKUP($A$7,Data!$B$6:$P$201,8,FALSE)/HLOOKUP($A$7,Data!$B$6:$P$201,3,FALSE))+ABS((HLOOKUP($C$7,Data!$B$6:$P$201,8,FALSE)/HLOOKUP($C$7,Data!$B$6:$P$201,3,FALSE))-(HLOOKUP($A$7,Data!$B$6:$P$201,8,FALSE)/HLOOKUP($A$7,Data!$B$6:$P$201,3,FALSE)))/2</f>
        <v>#N/A</v>
      </c>
    </row>
    <row r="28" spans="1:7" ht="30" x14ac:dyDescent="0.25">
      <c r="A28" s="225"/>
      <c r="B28" s="50" t="s">
        <v>257</v>
      </c>
      <c r="C28" s="33" t="s">
        <v>200</v>
      </c>
      <c r="D28" s="74">
        <f>(HLOOKUP($A$7,Data!$B$6:$P$201,9,FALSE)/HLOOKUP($A$7,Data!$B$6:$P$201,3,FALSE))+ABS((HLOOKUP("NATION",Data!$B$6:$P$201,9,FALSE)/HLOOKUP("NATION",Data!$B$6:$P$201,3,FALSE))-(HLOOKUP($A$7,Data!$B$6:$P$201,9,FALSE)/HLOOKUP($A$7,Data!$B$6:$P$201,3,FALSE)))/2</f>
        <v>0.33043113443060712</v>
      </c>
      <c r="E28" s="33"/>
      <c r="F28" s="33" t="s">
        <v>200</v>
      </c>
      <c r="G28" s="75" t="e">
        <f>(HLOOKUP($A$7,Data!$B$6:$P$201,9,FALSE)/HLOOKUP($A$7,Data!$B$6:$P$201,3,FALSE))+ABS((HLOOKUP($C$7,Data!$B$6:$P$201,9,FALSE)/HLOOKUP($C$7,Data!$B$6:$P$201,3,FALSE))-(HLOOKUP($A$7,Data!$B$6:$P$201,9,FALSE)/HLOOKUP($A$7,Data!$B$6:$P$201,3,FALSE)))/2</f>
        <v>#N/A</v>
      </c>
    </row>
    <row r="29" spans="1:7" ht="30.75" thickBot="1" x14ac:dyDescent="0.3">
      <c r="A29" s="226"/>
      <c r="B29" s="53" t="s">
        <v>256</v>
      </c>
      <c r="C29" s="40" t="s">
        <v>200</v>
      </c>
      <c r="D29" s="84">
        <f>(HLOOKUP($A$7,Data!$B$6:$P$201,10,FALSE)/HLOOKUP($A$7,Data!$B$6:$P$201,3,FALSE))+ABS((HLOOKUP("NATION",Data!$B$6:$P$201,10,FALSE)/HLOOKUP("NATION",Data!$B$6:$P$201,3,FALSE))-(HLOOKUP($A$7,Data!$B$6:$P$201,10,FALSE)/HLOOKUP($A$7,Data!$B$6:$P$201,3,FALSE)))/2</f>
        <v>0.35578427318188238</v>
      </c>
      <c r="E29" s="40"/>
      <c r="F29" s="40" t="s">
        <v>200</v>
      </c>
      <c r="G29" s="87" t="e">
        <f>(HLOOKUP($A$7,Data!$B$6:$P$201,10,FALSE)/HLOOKUP($A$7,Data!$B$6:$P$201,3,FALSE))+ABS((HLOOKUP($C$7,Data!$B$6:$P$201,10,FALSE)/HLOOKUP($C$7,Data!$B$6:$P$201,3,FALSE))-(HLOOKUP($A$7,Data!$B$6:$P$201,10,FALSE)/HLOOKUP($A$7,Data!$B$6:$P$201,3,FALSE)))/2</f>
        <v>#N/A</v>
      </c>
    </row>
    <row r="30" spans="1:7" x14ac:dyDescent="0.25">
      <c r="A30" s="157"/>
      <c r="B30" s="136"/>
      <c r="C30" s="158"/>
      <c r="D30" s="159"/>
      <c r="E30" s="158"/>
      <c r="F30" s="158"/>
      <c r="G30" s="159"/>
    </row>
    <row r="31" spans="1:7" ht="45" customHeight="1" x14ac:dyDescent="0.25">
      <c r="A31" s="157"/>
      <c r="B31" s="197" t="s">
        <v>259</v>
      </c>
      <c r="C31" s="197"/>
      <c r="D31" s="197"/>
      <c r="E31" s="197"/>
      <c r="F31" s="197"/>
      <c r="G31" s="197"/>
    </row>
    <row r="33" spans="2:7" ht="44.25" customHeight="1" x14ac:dyDescent="0.25">
      <c r="B33" s="197" t="s">
        <v>258</v>
      </c>
      <c r="C33" s="197"/>
      <c r="D33" s="197"/>
      <c r="E33" s="197"/>
      <c r="F33" s="197"/>
      <c r="G33" s="197"/>
    </row>
  </sheetData>
  <mergeCells count="7">
    <mergeCell ref="B33:G33"/>
    <mergeCell ref="C9:D9"/>
    <mergeCell ref="F9:G9"/>
    <mergeCell ref="A4:F4"/>
    <mergeCell ref="A12:A18"/>
    <mergeCell ref="A19:A29"/>
    <mergeCell ref="B31:G31"/>
  </mergeCells>
  <dataValidations count="1">
    <dataValidation type="list" allowBlank="1" showInputMessage="1" showErrorMessage="1" sqref="C7">
      <formula1>Geographies</formula1>
    </dataValidation>
  </dataValidations>
  <pageMargins left="0.7" right="0.7" top="0.75" bottom="0.75" header="0.3" footer="0.3"/>
  <pageSetup scale="6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P207"/>
  <sheetViews>
    <sheetView workbookViewId="0">
      <pane xSplit="1" ySplit="6" topLeftCell="B7" activePane="bottomRight" state="frozen"/>
      <selection pane="topRight" activeCell="B1" sqref="B1"/>
      <selection pane="bottomLeft" activeCell="A7" sqref="A7"/>
      <selection pane="bottomRight" activeCell="B6" sqref="B6"/>
    </sheetView>
  </sheetViews>
  <sheetFormatPr defaultRowHeight="15" x14ac:dyDescent="0.25"/>
  <cols>
    <col min="1" max="1" width="26.5703125" customWidth="1"/>
    <col min="2" max="4" width="12.140625" bestFit="1" customWidth="1"/>
    <col min="5" max="5" width="12.7109375" bestFit="1" customWidth="1"/>
    <col min="6" max="6" width="9.28515625" customWidth="1"/>
    <col min="7" max="16" width="9.28515625" bestFit="1" customWidth="1"/>
  </cols>
  <sheetData>
    <row r="5" spans="1:3" x14ac:dyDescent="0.25">
      <c r="A5" s="1" t="s">
        <v>22</v>
      </c>
    </row>
    <row r="6" spans="1:3" x14ac:dyDescent="0.25">
      <c r="A6" s="1" t="s">
        <v>23</v>
      </c>
      <c r="B6" t="s">
        <v>264</v>
      </c>
      <c r="C6" t="s">
        <v>265</v>
      </c>
    </row>
    <row r="7" spans="1:3" x14ac:dyDescent="0.25">
      <c r="A7" s="1" t="s">
        <v>8</v>
      </c>
    </row>
    <row r="8" spans="1:3" x14ac:dyDescent="0.25">
      <c r="A8" s="3" t="s">
        <v>9</v>
      </c>
      <c r="B8" s="181">
        <v>1556</v>
      </c>
      <c r="C8">
        <v>115226802</v>
      </c>
    </row>
    <row r="9" spans="1:3" x14ac:dyDescent="0.25">
      <c r="A9" s="3" t="s">
        <v>10</v>
      </c>
      <c r="B9" s="182">
        <v>35.99</v>
      </c>
      <c r="C9">
        <v>65.510000000000005</v>
      </c>
    </row>
    <row r="10" spans="1:3" x14ac:dyDescent="0.25">
      <c r="A10" s="3" t="s">
        <v>11</v>
      </c>
      <c r="B10" s="183">
        <v>28.31</v>
      </c>
      <c r="C10">
        <v>14.51</v>
      </c>
    </row>
    <row r="11" spans="1:3" x14ac:dyDescent="0.25">
      <c r="A11" s="3" t="s">
        <v>12</v>
      </c>
      <c r="B11" s="183">
        <v>22.3</v>
      </c>
      <c r="C11">
        <v>23.93</v>
      </c>
    </row>
    <row r="12" spans="1:3" x14ac:dyDescent="0.25">
      <c r="A12" s="3" t="s">
        <v>13</v>
      </c>
      <c r="B12" s="184">
        <v>8.7799999999999994</v>
      </c>
      <c r="C12">
        <v>13.16</v>
      </c>
    </row>
    <row r="13" spans="1:3" x14ac:dyDescent="0.25">
      <c r="A13" s="3" t="s">
        <v>14</v>
      </c>
      <c r="B13" s="182">
        <v>300</v>
      </c>
      <c r="C13">
        <v>15151390</v>
      </c>
    </row>
    <row r="14" spans="1:3" x14ac:dyDescent="0.25">
      <c r="A14" s="3" t="s">
        <v>15</v>
      </c>
      <c r="B14" s="182">
        <v>405</v>
      </c>
      <c r="C14">
        <v>13825610</v>
      </c>
    </row>
    <row r="15" spans="1:3" x14ac:dyDescent="0.25">
      <c r="A15" s="3" t="s">
        <v>16</v>
      </c>
      <c r="B15" s="182">
        <v>455</v>
      </c>
      <c r="C15">
        <v>19090870</v>
      </c>
    </row>
    <row r="16" spans="1:3" x14ac:dyDescent="0.25">
      <c r="A16" s="3" t="s">
        <v>17</v>
      </c>
      <c r="B16" s="183">
        <v>43.06</v>
      </c>
      <c r="C16">
        <v>35.979999999999997</v>
      </c>
    </row>
    <row r="17" spans="1:16" x14ac:dyDescent="0.25">
      <c r="A17" s="3" t="s">
        <v>18</v>
      </c>
      <c r="B17" s="185">
        <v>20</v>
      </c>
      <c r="C17">
        <v>897080</v>
      </c>
    </row>
    <row r="18" spans="1:16" x14ac:dyDescent="0.25">
      <c r="A18" s="3" t="s">
        <v>175</v>
      </c>
      <c r="B18" s="182">
        <v>8</v>
      </c>
      <c r="C18">
        <v>978058</v>
      </c>
    </row>
    <row r="19" spans="1:16" x14ac:dyDescent="0.25">
      <c r="A19" s="3" t="s">
        <v>176</v>
      </c>
      <c r="B19" s="186">
        <v>0</v>
      </c>
      <c r="C19">
        <v>278331</v>
      </c>
    </row>
    <row r="20" spans="1:16" x14ac:dyDescent="0.25">
      <c r="A20" s="3" t="s">
        <v>19</v>
      </c>
      <c r="B20" s="185">
        <v>10</v>
      </c>
      <c r="C20">
        <v>625925</v>
      </c>
    </row>
    <row r="21" spans="1:16" x14ac:dyDescent="0.25">
      <c r="A21" s="3" t="s">
        <v>177</v>
      </c>
      <c r="B21" s="186">
        <v>38</v>
      </c>
      <c r="C21">
        <v>1601708</v>
      </c>
    </row>
    <row r="22" spans="1:16" x14ac:dyDescent="0.25">
      <c r="A22" s="3" t="s">
        <v>178</v>
      </c>
      <c r="B22" s="182">
        <v>20</v>
      </c>
      <c r="C22">
        <v>860870</v>
      </c>
    </row>
    <row r="23" spans="1:16" x14ac:dyDescent="0.25">
      <c r="A23" s="3" t="s">
        <v>20</v>
      </c>
      <c r="B23" s="182">
        <v>101200</v>
      </c>
      <c r="C23">
        <v>181400</v>
      </c>
    </row>
    <row r="24" spans="1:16" x14ac:dyDescent="0.25">
      <c r="A24" s="3" t="s">
        <v>21</v>
      </c>
      <c r="B24" s="186">
        <v>472</v>
      </c>
      <c r="C24">
        <v>733</v>
      </c>
    </row>
    <row r="25" spans="1:16" x14ac:dyDescent="0.25">
      <c r="A25" s="3"/>
    </row>
    <row r="26" spans="1:16" x14ac:dyDescent="0.25">
      <c r="A26" s="1" t="s">
        <v>23</v>
      </c>
      <c r="B26" t="str">
        <f>B6</f>
        <v>For Tract 30111000300</v>
      </c>
      <c r="C26" t="str">
        <f t="shared" ref="C26:P26" si="0">C6</f>
        <v>Nation</v>
      </c>
      <c r="D26">
        <f t="shared" si="0"/>
        <v>0</v>
      </c>
      <c r="E26">
        <f t="shared" si="0"/>
        <v>0</v>
      </c>
      <c r="F26">
        <f t="shared" si="0"/>
        <v>0</v>
      </c>
      <c r="G26">
        <f t="shared" si="0"/>
        <v>0</v>
      </c>
      <c r="H26">
        <f t="shared" si="0"/>
        <v>0</v>
      </c>
      <c r="I26">
        <f t="shared" si="0"/>
        <v>0</v>
      </c>
      <c r="J26">
        <f t="shared" si="0"/>
        <v>0</v>
      </c>
      <c r="K26">
        <f t="shared" si="0"/>
        <v>0</v>
      </c>
      <c r="L26">
        <f t="shared" si="0"/>
        <v>0</v>
      </c>
      <c r="M26">
        <f t="shared" si="0"/>
        <v>0</v>
      </c>
      <c r="N26">
        <f t="shared" si="0"/>
        <v>0</v>
      </c>
      <c r="O26">
        <f t="shared" si="0"/>
        <v>0</v>
      </c>
      <c r="P26">
        <f t="shared" si="0"/>
        <v>0</v>
      </c>
    </row>
    <row r="27" spans="1:16" x14ac:dyDescent="0.25">
      <c r="A27" s="2" t="s">
        <v>0</v>
      </c>
      <c r="B27" s="4">
        <f>B10/100</f>
        <v>0.28309999999999996</v>
      </c>
      <c r="C27" s="4">
        <f t="shared" ref="C27:P27" si="1">C10/100</f>
        <v>0.14510000000000001</v>
      </c>
      <c r="D27" s="4">
        <f t="shared" si="1"/>
        <v>0</v>
      </c>
      <c r="E27" s="4">
        <f t="shared" si="1"/>
        <v>0</v>
      </c>
      <c r="F27" s="4">
        <f t="shared" si="1"/>
        <v>0</v>
      </c>
      <c r="G27" s="4">
        <f t="shared" si="1"/>
        <v>0</v>
      </c>
      <c r="H27" s="4">
        <f t="shared" si="1"/>
        <v>0</v>
      </c>
      <c r="I27" s="4">
        <f t="shared" si="1"/>
        <v>0</v>
      </c>
      <c r="J27" s="4">
        <f t="shared" si="1"/>
        <v>0</v>
      </c>
      <c r="K27" s="4">
        <f t="shared" si="1"/>
        <v>0</v>
      </c>
      <c r="L27" s="4">
        <f t="shared" si="1"/>
        <v>0</v>
      </c>
      <c r="M27" s="4">
        <f t="shared" si="1"/>
        <v>0</v>
      </c>
      <c r="N27" s="4">
        <f t="shared" si="1"/>
        <v>0</v>
      </c>
      <c r="O27" s="4">
        <f t="shared" si="1"/>
        <v>0</v>
      </c>
      <c r="P27" s="4">
        <f t="shared" si="1"/>
        <v>0</v>
      </c>
    </row>
    <row r="28" spans="1:16" x14ac:dyDescent="0.25">
      <c r="A28" s="2" t="s">
        <v>1</v>
      </c>
      <c r="B28" s="4">
        <f>SUM(B13:B15)/B8</f>
        <v>0.74550128534704374</v>
      </c>
      <c r="C28" s="4">
        <f t="shared" ref="C28:E28" si="2">SUM(C13:C15)/C8</f>
        <v>0.41715876137914509</v>
      </c>
      <c r="D28" s="4" t="e">
        <f t="shared" si="2"/>
        <v>#DIV/0!</v>
      </c>
      <c r="E28" s="4" t="e">
        <f t="shared" si="2"/>
        <v>#DIV/0!</v>
      </c>
      <c r="F28" s="4" t="e">
        <f t="shared" ref="F28:G28" si="3">SUM(F13:F15)/F8</f>
        <v>#DIV/0!</v>
      </c>
      <c r="G28" s="4" t="e">
        <f t="shared" si="3"/>
        <v>#DIV/0!</v>
      </c>
      <c r="H28" s="4" t="e">
        <f t="shared" ref="H28:P28" si="4">SUM(H13:H15)/H8</f>
        <v>#DIV/0!</v>
      </c>
      <c r="I28" s="4" t="e">
        <f t="shared" si="4"/>
        <v>#DIV/0!</v>
      </c>
      <c r="J28" s="4" t="e">
        <f t="shared" si="4"/>
        <v>#DIV/0!</v>
      </c>
      <c r="K28" s="4" t="e">
        <f t="shared" si="4"/>
        <v>#DIV/0!</v>
      </c>
      <c r="L28" s="4" t="e">
        <f t="shared" si="4"/>
        <v>#DIV/0!</v>
      </c>
      <c r="M28" s="4" t="e">
        <f t="shared" si="4"/>
        <v>#DIV/0!</v>
      </c>
      <c r="N28" s="4" t="e">
        <f t="shared" si="4"/>
        <v>#DIV/0!</v>
      </c>
      <c r="O28" s="4" t="e">
        <f t="shared" si="4"/>
        <v>#DIV/0!</v>
      </c>
      <c r="P28" s="4" t="e">
        <f t="shared" si="4"/>
        <v>#DIV/0!</v>
      </c>
    </row>
    <row r="29" spans="1:16" x14ac:dyDescent="0.25">
      <c r="A29" s="2" t="s">
        <v>2</v>
      </c>
      <c r="B29" s="4">
        <f>B12/100</f>
        <v>8.7799999999999989E-2</v>
      </c>
      <c r="C29" s="4">
        <f t="shared" ref="C29:P29" si="5">C12/100</f>
        <v>0.13159999999999999</v>
      </c>
      <c r="D29" s="4">
        <f t="shared" si="5"/>
        <v>0</v>
      </c>
      <c r="E29" s="4">
        <f t="shared" si="5"/>
        <v>0</v>
      </c>
      <c r="F29" s="4">
        <f t="shared" si="5"/>
        <v>0</v>
      </c>
      <c r="G29" s="4">
        <f t="shared" si="5"/>
        <v>0</v>
      </c>
      <c r="H29" s="4">
        <f t="shared" si="5"/>
        <v>0</v>
      </c>
      <c r="I29" s="4">
        <f t="shared" si="5"/>
        <v>0</v>
      </c>
      <c r="J29" s="4">
        <f t="shared" si="5"/>
        <v>0</v>
      </c>
      <c r="K29" s="4">
        <f t="shared" si="5"/>
        <v>0</v>
      </c>
      <c r="L29" s="4">
        <f t="shared" si="5"/>
        <v>0</v>
      </c>
      <c r="M29" s="4">
        <f t="shared" si="5"/>
        <v>0</v>
      </c>
      <c r="N29" s="4">
        <f t="shared" si="5"/>
        <v>0</v>
      </c>
      <c r="O29" s="4">
        <f t="shared" si="5"/>
        <v>0</v>
      </c>
      <c r="P29" s="4">
        <f t="shared" si="5"/>
        <v>0</v>
      </c>
    </row>
    <row r="30" spans="1:16" x14ac:dyDescent="0.25">
      <c r="A30" s="2" t="s">
        <v>3</v>
      </c>
      <c r="B30" s="4">
        <f>B11/100</f>
        <v>0.223</v>
      </c>
      <c r="C30" s="4">
        <f t="shared" ref="C30:P30" si="6">C11/100</f>
        <v>0.23929999999999998</v>
      </c>
      <c r="D30" s="4">
        <f t="shared" si="6"/>
        <v>0</v>
      </c>
      <c r="E30" s="4">
        <f t="shared" si="6"/>
        <v>0</v>
      </c>
      <c r="F30" s="4">
        <f t="shared" si="6"/>
        <v>0</v>
      </c>
      <c r="G30" s="4">
        <f t="shared" si="6"/>
        <v>0</v>
      </c>
      <c r="H30" s="4">
        <f t="shared" si="6"/>
        <v>0</v>
      </c>
      <c r="I30" s="4">
        <f t="shared" si="6"/>
        <v>0</v>
      </c>
      <c r="J30" s="4">
        <f t="shared" si="6"/>
        <v>0</v>
      </c>
      <c r="K30" s="4">
        <f t="shared" si="6"/>
        <v>0</v>
      </c>
      <c r="L30" s="4">
        <f t="shared" si="6"/>
        <v>0</v>
      </c>
      <c r="M30" s="4">
        <f t="shared" si="6"/>
        <v>0</v>
      </c>
      <c r="N30" s="4">
        <f t="shared" si="6"/>
        <v>0</v>
      </c>
      <c r="O30" s="4">
        <f t="shared" si="6"/>
        <v>0</v>
      </c>
      <c r="P30" s="4">
        <f t="shared" si="6"/>
        <v>0</v>
      </c>
    </row>
    <row r="31" spans="1:16" x14ac:dyDescent="0.25">
      <c r="A31" s="3" t="s">
        <v>4</v>
      </c>
      <c r="B31" s="4">
        <f>1-B9/100</f>
        <v>0.6401</v>
      </c>
      <c r="C31" s="4">
        <f t="shared" ref="C31:E31" si="7">1-C9/100</f>
        <v>0.34489999999999998</v>
      </c>
      <c r="D31" s="4">
        <f t="shared" si="7"/>
        <v>1</v>
      </c>
      <c r="E31" s="4">
        <f t="shared" si="7"/>
        <v>1</v>
      </c>
      <c r="F31" s="4">
        <f t="shared" ref="F31:G31" si="8">1-F9/100</f>
        <v>1</v>
      </c>
      <c r="G31" s="4">
        <f t="shared" si="8"/>
        <v>1</v>
      </c>
      <c r="H31" s="4">
        <f t="shared" ref="H31:P31" si="9">1-H9/100</f>
        <v>1</v>
      </c>
      <c r="I31" s="4">
        <f t="shared" si="9"/>
        <v>1</v>
      </c>
      <c r="J31" s="4">
        <f t="shared" si="9"/>
        <v>1</v>
      </c>
      <c r="K31" s="4">
        <f t="shared" si="9"/>
        <v>1</v>
      </c>
      <c r="L31" s="4">
        <f t="shared" si="9"/>
        <v>1</v>
      </c>
      <c r="M31" s="4">
        <f t="shared" si="9"/>
        <v>1</v>
      </c>
      <c r="N31" s="4">
        <f t="shared" si="9"/>
        <v>1</v>
      </c>
      <c r="O31" s="4">
        <f t="shared" si="9"/>
        <v>1</v>
      </c>
      <c r="P31" s="4">
        <f t="shared" si="9"/>
        <v>1</v>
      </c>
    </row>
    <row r="32" spans="1:16" x14ac:dyDescent="0.25">
      <c r="A32" s="3" t="s">
        <v>5</v>
      </c>
      <c r="B32" s="4">
        <f t="shared" ref="B32:E32" si="10">(B17+B20)/B8</f>
        <v>1.9280205655526992E-2</v>
      </c>
      <c r="C32" s="4">
        <f t="shared" si="10"/>
        <v>1.3217454390515845E-2</v>
      </c>
      <c r="D32" s="4" t="e">
        <f t="shared" si="10"/>
        <v>#DIV/0!</v>
      </c>
      <c r="E32" s="4" t="e">
        <f t="shared" si="10"/>
        <v>#DIV/0!</v>
      </c>
      <c r="F32" s="4" t="e">
        <f t="shared" ref="F32:G32" si="11">(F17+F20)/F8</f>
        <v>#DIV/0!</v>
      </c>
      <c r="G32" s="4" t="e">
        <f t="shared" si="11"/>
        <v>#DIV/0!</v>
      </c>
      <c r="H32" s="4" t="e">
        <f t="shared" ref="H32:P32" si="12">(H17+H20)/H8</f>
        <v>#DIV/0!</v>
      </c>
      <c r="I32" s="4" t="e">
        <f t="shared" si="12"/>
        <v>#DIV/0!</v>
      </c>
      <c r="J32" s="4" t="e">
        <f t="shared" si="12"/>
        <v>#DIV/0!</v>
      </c>
      <c r="K32" s="4" t="e">
        <f t="shared" si="12"/>
        <v>#DIV/0!</v>
      </c>
      <c r="L32" s="4" t="e">
        <f t="shared" si="12"/>
        <v>#DIV/0!</v>
      </c>
      <c r="M32" s="4" t="e">
        <f t="shared" si="12"/>
        <v>#DIV/0!</v>
      </c>
      <c r="N32" s="4" t="e">
        <f t="shared" si="12"/>
        <v>#DIV/0!</v>
      </c>
      <c r="O32" s="4" t="e">
        <f t="shared" si="12"/>
        <v>#DIV/0!</v>
      </c>
      <c r="P32" s="4" t="e">
        <f t="shared" si="12"/>
        <v>#DIV/0!</v>
      </c>
    </row>
    <row r="33" spans="1:16" x14ac:dyDescent="0.25">
      <c r="A33" s="3" t="s">
        <v>6</v>
      </c>
      <c r="B33" s="4">
        <f>(B18+B19+B21+B22)/B8</f>
        <v>4.2416452442159386E-2</v>
      </c>
      <c r="C33" s="4">
        <f t="shared" ref="C33:E33" si="13">(C18+C19+C21+C22)/C8</f>
        <v>3.2275190627958243E-2</v>
      </c>
      <c r="D33" s="4" t="e">
        <f t="shared" si="13"/>
        <v>#DIV/0!</v>
      </c>
      <c r="E33" s="4" t="e">
        <f t="shared" si="13"/>
        <v>#DIV/0!</v>
      </c>
      <c r="F33" s="4" t="e">
        <f t="shared" ref="F33:G33" si="14">(F18+F19+F21+F22)/F8</f>
        <v>#DIV/0!</v>
      </c>
      <c r="G33" s="4" t="e">
        <f t="shared" si="14"/>
        <v>#DIV/0!</v>
      </c>
      <c r="H33" s="4" t="e">
        <f t="shared" ref="H33:P33" si="15">(H18+H19+H21+H22)/H8</f>
        <v>#DIV/0!</v>
      </c>
      <c r="I33" s="4" t="e">
        <f t="shared" si="15"/>
        <v>#DIV/0!</v>
      </c>
      <c r="J33" s="4" t="e">
        <f t="shared" si="15"/>
        <v>#DIV/0!</v>
      </c>
      <c r="K33" s="4" t="e">
        <f t="shared" si="15"/>
        <v>#DIV/0!</v>
      </c>
      <c r="L33" s="4" t="e">
        <f t="shared" si="15"/>
        <v>#DIV/0!</v>
      </c>
      <c r="M33" s="4" t="e">
        <f t="shared" si="15"/>
        <v>#DIV/0!</v>
      </c>
      <c r="N33" s="4" t="e">
        <f t="shared" si="15"/>
        <v>#DIV/0!</v>
      </c>
      <c r="O33" s="4" t="e">
        <f t="shared" si="15"/>
        <v>#DIV/0!</v>
      </c>
      <c r="P33" s="4" t="e">
        <f t="shared" si="15"/>
        <v>#DIV/0!</v>
      </c>
    </row>
    <row r="34" spans="1:16" x14ac:dyDescent="0.25">
      <c r="A34" s="3" t="s">
        <v>7</v>
      </c>
      <c r="B34" s="4">
        <f>B16/100</f>
        <v>0.43060000000000004</v>
      </c>
      <c r="C34" s="4">
        <f t="shared" ref="C34:P34" si="16">C16/100</f>
        <v>0.35979999999999995</v>
      </c>
      <c r="D34" s="4">
        <f t="shared" si="16"/>
        <v>0</v>
      </c>
      <c r="E34" s="4">
        <f t="shared" si="16"/>
        <v>0</v>
      </c>
      <c r="F34" s="4">
        <f t="shared" si="16"/>
        <v>0</v>
      </c>
      <c r="G34" s="4">
        <f t="shared" si="16"/>
        <v>0</v>
      </c>
      <c r="H34" s="4">
        <f t="shared" si="16"/>
        <v>0</v>
      </c>
      <c r="I34" s="4">
        <f t="shared" si="16"/>
        <v>0</v>
      </c>
      <c r="J34" s="4">
        <f t="shared" si="16"/>
        <v>0</v>
      </c>
      <c r="K34" s="4">
        <f t="shared" si="16"/>
        <v>0</v>
      </c>
      <c r="L34" s="4">
        <f t="shared" si="16"/>
        <v>0</v>
      </c>
      <c r="M34" s="4">
        <f t="shared" si="16"/>
        <v>0</v>
      </c>
      <c r="N34" s="4">
        <f t="shared" si="16"/>
        <v>0</v>
      </c>
      <c r="O34" s="4">
        <f t="shared" si="16"/>
        <v>0</v>
      </c>
      <c r="P34" s="4">
        <f t="shared" si="16"/>
        <v>0</v>
      </c>
    </row>
    <row r="35" spans="1:16" x14ac:dyDescent="0.25">
      <c r="A35" s="3" t="s">
        <v>25</v>
      </c>
      <c r="B35" s="4">
        <f>B23/HLOOKUP("NATION",$B$6:$P$24,18,FALSE)</f>
        <v>0.55788313120176403</v>
      </c>
      <c r="C35" s="4">
        <f>C23/HLOOKUP("NATION",$B$6:$P$24,18,FALSE)</f>
        <v>1</v>
      </c>
      <c r="D35" s="4">
        <f t="shared" ref="D35:P35" si="17">D23/HLOOKUP("NATION",$B$6:$P$24,18,FALSE)</f>
        <v>0</v>
      </c>
      <c r="E35" s="4">
        <f t="shared" si="17"/>
        <v>0</v>
      </c>
      <c r="F35" s="4">
        <f t="shared" si="17"/>
        <v>0</v>
      </c>
      <c r="G35" s="4">
        <f t="shared" si="17"/>
        <v>0</v>
      </c>
      <c r="H35" s="4">
        <f t="shared" si="17"/>
        <v>0</v>
      </c>
      <c r="I35" s="4">
        <f t="shared" si="17"/>
        <v>0</v>
      </c>
      <c r="J35" s="4">
        <f t="shared" si="17"/>
        <v>0</v>
      </c>
      <c r="K35" s="4">
        <f t="shared" si="17"/>
        <v>0</v>
      </c>
      <c r="L35" s="4">
        <f t="shared" si="17"/>
        <v>0</v>
      </c>
      <c r="M35" s="4">
        <f t="shared" si="17"/>
        <v>0</v>
      </c>
      <c r="N35" s="4">
        <f t="shared" si="17"/>
        <v>0</v>
      </c>
      <c r="O35" s="4">
        <f t="shared" si="17"/>
        <v>0</v>
      </c>
      <c r="P35" s="4">
        <f t="shared" si="17"/>
        <v>0</v>
      </c>
    </row>
    <row r="36" spans="1:16" x14ac:dyDescent="0.25">
      <c r="A36" s="3" t="s">
        <v>37</v>
      </c>
      <c r="B36" s="4">
        <f>B24/HLOOKUP("NATION",$B$6:$P$24,19,FALSE)</f>
        <v>0.64392905866302863</v>
      </c>
      <c r="C36" s="4">
        <f t="shared" ref="C36:P36" si="18">C24/HLOOKUP("NATION",$B$6:$P$24,19,FALSE)</f>
        <v>1</v>
      </c>
      <c r="D36" s="4">
        <f t="shared" si="18"/>
        <v>0</v>
      </c>
      <c r="E36" s="4">
        <f t="shared" si="18"/>
        <v>0</v>
      </c>
      <c r="F36" s="4">
        <f t="shared" si="18"/>
        <v>0</v>
      </c>
      <c r="G36" s="4">
        <f t="shared" si="18"/>
        <v>0</v>
      </c>
      <c r="H36" s="4">
        <f t="shared" si="18"/>
        <v>0</v>
      </c>
      <c r="I36" s="4">
        <f t="shared" si="18"/>
        <v>0</v>
      </c>
      <c r="J36" s="4">
        <f t="shared" si="18"/>
        <v>0</v>
      </c>
      <c r="K36" s="4">
        <f t="shared" si="18"/>
        <v>0</v>
      </c>
      <c r="L36" s="4">
        <f t="shared" si="18"/>
        <v>0</v>
      </c>
      <c r="M36" s="4">
        <f t="shared" si="18"/>
        <v>0</v>
      </c>
      <c r="N36" s="4">
        <f t="shared" si="18"/>
        <v>0</v>
      </c>
      <c r="O36" s="4">
        <f t="shared" si="18"/>
        <v>0</v>
      </c>
      <c r="P36" s="4">
        <f t="shared" si="18"/>
        <v>0</v>
      </c>
    </row>
    <row r="38" spans="1:16" x14ac:dyDescent="0.25">
      <c r="A38" s="1" t="s">
        <v>48</v>
      </c>
    </row>
    <row r="39" spans="1:16" x14ac:dyDescent="0.25">
      <c r="A39" s="44" t="s">
        <v>101</v>
      </c>
    </row>
    <row r="40" spans="1:16" x14ac:dyDescent="0.25">
      <c r="A40" s="3" t="s">
        <v>179</v>
      </c>
      <c r="B40" s="186">
        <v>552</v>
      </c>
      <c r="C40">
        <v>74228272</v>
      </c>
    </row>
    <row r="41" spans="1:16" x14ac:dyDescent="0.25">
      <c r="A41" s="3" t="s">
        <v>180</v>
      </c>
      <c r="B41" s="182">
        <v>938</v>
      </c>
      <c r="C41">
        <v>37279563</v>
      </c>
    </row>
    <row r="42" spans="1:16" x14ac:dyDescent="0.25">
      <c r="A42" s="3" t="s">
        <v>102</v>
      </c>
      <c r="B42" s="187">
        <v>0</v>
      </c>
      <c r="C42">
        <v>91495</v>
      </c>
    </row>
    <row r="43" spans="1:16" x14ac:dyDescent="0.25">
      <c r="A43" s="3" t="s">
        <v>103</v>
      </c>
      <c r="B43" s="187">
        <v>0</v>
      </c>
      <c r="C43">
        <v>144450</v>
      </c>
    </row>
    <row r="44" spans="1:16" x14ac:dyDescent="0.25">
      <c r="A44" s="3" t="s">
        <v>104</v>
      </c>
      <c r="B44" s="187">
        <v>0</v>
      </c>
      <c r="C44">
        <v>240895</v>
      </c>
    </row>
    <row r="45" spans="1:16" x14ac:dyDescent="0.25">
      <c r="A45" s="3" t="s">
        <v>105</v>
      </c>
      <c r="B45" s="187">
        <v>0</v>
      </c>
      <c r="C45">
        <v>139550</v>
      </c>
    </row>
    <row r="46" spans="1:16" x14ac:dyDescent="0.25">
      <c r="A46" s="3" t="s">
        <v>106</v>
      </c>
      <c r="B46" s="188">
        <v>0</v>
      </c>
      <c r="C46">
        <v>29410</v>
      </c>
    </row>
    <row r="47" spans="1:16" x14ac:dyDescent="0.25">
      <c r="A47" s="3" t="s">
        <v>107</v>
      </c>
      <c r="B47" s="188">
        <v>0</v>
      </c>
      <c r="C47">
        <v>40395</v>
      </c>
    </row>
    <row r="48" spans="1:16" x14ac:dyDescent="0.25">
      <c r="A48" s="3" t="s">
        <v>108</v>
      </c>
      <c r="B48" s="188">
        <v>0</v>
      </c>
      <c r="C48">
        <v>60799</v>
      </c>
    </row>
    <row r="49" spans="1:16" x14ac:dyDescent="0.25">
      <c r="A49" s="3" t="s">
        <v>109</v>
      </c>
      <c r="B49" s="188">
        <v>0</v>
      </c>
      <c r="C49">
        <v>34400</v>
      </c>
    </row>
    <row r="50" spans="1:16" x14ac:dyDescent="0.25">
      <c r="A50" s="3" t="s">
        <v>110</v>
      </c>
      <c r="B50" s="187">
        <v>0</v>
      </c>
      <c r="C50">
        <v>456330</v>
      </c>
    </row>
    <row r="51" spans="1:16" x14ac:dyDescent="0.25">
      <c r="A51" s="3" t="s">
        <v>111</v>
      </c>
      <c r="B51" s="187">
        <v>30</v>
      </c>
      <c r="C51">
        <v>389080</v>
      </c>
    </row>
    <row r="52" spans="1:16" x14ac:dyDescent="0.25">
      <c r="A52" s="3" t="s">
        <v>112</v>
      </c>
      <c r="B52" s="187">
        <v>0</v>
      </c>
      <c r="C52">
        <v>368890</v>
      </c>
    </row>
    <row r="53" spans="1:16" x14ac:dyDescent="0.25">
      <c r="A53" s="3" t="s">
        <v>113</v>
      </c>
      <c r="B53" s="187">
        <v>10</v>
      </c>
      <c r="C53">
        <v>143920</v>
      </c>
    </row>
    <row r="54" spans="1:16" x14ac:dyDescent="0.25">
      <c r="A54" s="3" t="s">
        <v>114</v>
      </c>
      <c r="B54" s="188">
        <v>0</v>
      </c>
      <c r="C54">
        <v>269105</v>
      </c>
    </row>
    <row r="55" spans="1:16" x14ac:dyDescent="0.25">
      <c r="A55" s="3" t="s">
        <v>115</v>
      </c>
      <c r="B55" s="188">
        <v>0</v>
      </c>
      <c r="C55">
        <v>198015</v>
      </c>
    </row>
    <row r="56" spans="1:16" x14ac:dyDescent="0.25">
      <c r="A56" s="3" t="s">
        <v>116</v>
      </c>
      <c r="B56" s="188">
        <v>0</v>
      </c>
      <c r="C56">
        <v>173530</v>
      </c>
    </row>
    <row r="57" spans="1:16" x14ac:dyDescent="0.25">
      <c r="A57" s="3" t="s">
        <v>117</v>
      </c>
      <c r="B57" s="188">
        <v>20</v>
      </c>
      <c r="C57">
        <v>67185</v>
      </c>
    </row>
    <row r="59" spans="1:16" x14ac:dyDescent="0.25">
      <c r="A59" s="1" t="s">
        <v>23</v>
      </c>
      <c r="B59" t="str">
        <f>B6</f>
        <v>For Tract 30111000300</v>
      </c>
      <c r="C59" t="str">
        <f t="shared" ref="C59:L59" si="19">C6</f>
        <v>Nation</v>
      </c>
      <c r="D59">
        <f t="shared" si="19"/>
        <v>0</v>
      </c>
      <c r="E59">
        <f t="shared" si="19"/>
        <v>0</v>
      </c>
      <c r="F59">
        <f t="shared" si="19"/>
        <v>0</v>
      </c>
      <c r="G59">
        <f t="shared" si="19"/>
        <v>0</v>
      </c>
      <c r="H59">
        <f t="shared" si="19"/>
        <v>0</v>
      </c>
      <c r="I59">
        <f t="shared" si="19"/>
        <v>0</v>
      </c>
      <c r="J59">
        <f t="shared" si="19"/>
        <v>0</v>
      </c>
      <c r="K59">
        <f t="shared" si="19"/>
        <v>0</v>
      </c>
      <c r="L59">
        <f t="shared" si="19"/>
        <v>0</v>
      </c>
      <c r="M59">
        <f>M6</f>
        <v>0</v>
      </c>
      <c r="N59">
        <f t="shared" ref="N59:P59" si="20">N6</f>
        <v>0</v>
      </c>
      <c r="O59">
        <f t="shared" si="20"/>
        <v>0</v>
      </c>
      <c r="P59">
        <f t="shared" si="20"/>
        <v>0</v>
      </c>
    </row>
    <row r="60" spans="1:16" x14ac:dyDescent="0.25">
      <c r="A60" s="3" t="s">
        <v>181</v>
      </c>
      <c r="B60" s="47">
        <f>B8</f>
        <v>1556</v>
      </c>
      <c r="C60" s="47">
        <f t="shared" ref="C60:P60" si="21">C8</f>
        <v>115226802</v>
      </c>
      <c r="D60" s="47">
        <f t="shared" si="21"/>
        <v>0</v>
      </c>
      <c r="E60" s="47">
        <f t="shared" si="21"/>
        <v>0</v>
      </c>
      <c r="F60" s="47">
        <f t="shared" si="21"/>
        <v>0</v>
      </c>
      <c r="G60" s="47">
        <f t="shared" si="21"/>
        <v>0</v>
      </c>
      <c r="H60" s="47">
        <f t="shared" si="21"/>
        <v>0</v>
      </c>
      <c r="I60" s="47">
        <f t="shared" si="21"/>
        <v>0</v>
      </c>
      <c r="J60" s="47">
        <f t="shared" si="21"/>
        <v>0</v>
      </c>
      <c r="K60" s="47">
        <f t="shared" si="21"/>
        <v>0</v>
      </c>
      <c r="L60" s="47">
        <f t="shared" si="21"/>
        <v>0</v>
      </c>
      <c r="M60" s="47">
        <f t="shared" si="21"/>
        <v>0</v>
      </c>
      <c r="N60" s="47">
        <f t="shared" si="21"/>
        <v>0</v>
      </c>
      <c r="O60" s="47">
        <f t="shared" si="21"/>
        <v>0</v>
      </c>
      <c r="P60" s="47">
        <f t="shared" si="21"/>
        <v>0</v>
      </c>
    </row>
    <row r="61" spans="1:16" x14ac:dyDescent="0.25">
      <c r="A61" t="s">
        <v>6</v>
      </c>
      <c r="B61" s="47">
        <f>B18+B19+B21+B22</f>
        <v>66</v>
      </c>
      <c r="C61" s="47">
        <f t="shared" ref="C61:L61" si="22">C18+C19+C21+C22</f>
        <v>3718967</v>
      </c>
      <c r="D61" s="47">
        <f t="shared" si="22"/>
        <v>0</v>
      </c>
      <c r="E61" s="47">
        <f t="shared" si="22"/>
        <v>0</v>
      </c>
      <c r="F61" s="47">
        <f t="shared" si="22"/>
        <v>0</v>
      </c>
      <c r="G61" s="47">
        <f t="shared" si="22"/>
        <v>0</v>
      </c>
      <c r="H61" s="47">
        <f t="shared" si="22"/>
        <v>0</v>
      </c>
      <c r="I61" s="47">
        <f t="shared" si="22"/>
        <v>0</v>
      </c>
      <c r="J61" s="47">
        <f t="shared" si="22"/>
        <v>0</v>
      </c>
      <c r="K61" s="47">
        <f t="shared" si="22"/>
        <v>0</v>
      </c>
      <c r="L61" s="47">
        <f t="shared" si="22"/>
        <v>0</v>
      </c>
      <c r="M61" s="47">
        <f>M18+M19+M21+M22</f>
        <v>0</v>
      </c>
      <c r="N61" s="47">
        <f t="shared" ref="N61:P61" si="23">N18+N19+N21+N22</f>
        <v>0</v>
      </c>
      <c r="O61" s="47">
        <f t="shared" si="23"/>
        <v>0</v>
      </c>
      <c r="P61" s="47">
        <f t="shared" si="23"/>
        <v>0</v>
      </c>
    </row>
    <row r="62" spans="1:16" x14ac:dyDescent="0.25">
      <c r="A62" t="s">
        <v>95</v>
      </c>
      <c r="B62">
        <f>B40</f>
        <v>552</v>
      </c>
      <c r="C62">
        <f t="shared" ref="C62:L62" si="24">C40</f>
        <v>74228272</v>
      </c>
      <c r="D62">
        <f t="shared" si="24"/>
        <v>0</v>
      </c>
      <c r="E62">
        <f t="shared" si="24"/>
        <v>0</v>
      </c>
      <c r="F62">
        <f t="shared" si="24"/>
        <v>0</v>
      </c>
      <c r="G62">
        <f t="shared" si="24"/>
        <v>0</v>
      </c>
      <c r="H62">
        <f t="shared" si="24"/>
        <v>0</v>
      </c>
      <c r="I62">
        <f t="shared" si="24"/>
        <v>0</v>
      </c>
      <c r="J62">
        <f t="shared" si="24"/>
        <v>0</v>
      </c>
      <c r="K62">
        <f t="shared" si="24"/>
        <v>0</v>
      </c>
      <c r="L62">
        <f t="shared" si="24"/>
        <v>0</v>
      </c>
      <c r="M62">
        <f>M40</f>
        <v>0</v>
      </c>
      <c r="N62">
        <f t="shared" ref="N62:P62" si="25">N40</f>
        <v>0</v>
      </c>
      <c r="O62">
        <f t="shared" si="25"/>
        <v>0</v>
      </c>
      <c r="P62">
        <f t="shared" si="25"/>
        <v>0</v>
      </c>
    </row>
    <row r="63" spans="1:16" x14ac:dyDescent="0.25">
      <c r="A63" t="s">
        <v>96</v>
      </c>
      <c r="B63" s="47">
        <f>B18</f>
        <v>8</v>
      </c>
      <c r="C63" s="47">
        <f t="shared" ref="C63:L63" si="26">C18</f>
        <v>978058</v>
      </c>
      <c r="D63" s="47">
        <f t="shared" si="26"/>
        <v>0</v>
      </c>
      <c r="E63" s="47">
        <f t="shared" si="26"/>
        <v>0</v>
      </c>
      <c r="F63" s="47">
        <f t="shared" si="26"/>
        <v>0</v>
      </c>
      <c r="G63" s="47">
        <f t="shared" si="26"/>
        <v>0</v>
      </c>
      <c r="H63" s="47">
        <f t="shared" si="26"/>
        <v>0</v>
      </c>
      <c r="I63" s="47">
        <f t="shared" si="26"/>
        <v>0</v>
      </c>
      <c r="J63" s="47">
        <f t="shared" si="26"/>
        <v>0</v>
      </c>
      <c r="K63" s="47">
        <f t="shared" si="26"/>
        <v>0</v>
      </c>
      <c r="L63" s="47">
        <f t="shared" si="26"/>
        <v>0</v>
      </c>
      <c r="M63" s="47">
        <f>M18</f>
        <v>0</v>
      </c>
      <c r="N63" s="47">
        <f t="shared" ref="N63:P63" si="27">N18</f>
        <v>0</v>
      </c>
      <c r="O63" s="47">
        <f t="shared" si="27"/>
        <v>0</v>
      </c>
      <c r="P63" s="47">
        <f t="shared" si="27"/>
        <v>0</v>
      </c>
    </row>
    <row r="64" spans="1:16" x14ac:dyDescent="0.25">
      <c r="A64" t="s">
        <v>97</v>
      </c>
      <c r="B64" s="47">
        <f>B19</f>
        <v>0</v>
      </c>
      <c r="C64" s="47">
        <f t="shared" ref="C64:L64" si="28">C19</f>
        <v>278331</v>
      </c>
      <c r="D64" s="47">
        <f t="shared" si="28"/>
        <v>0</v>
      </c>
      <c r="E64" s="47">
        <f t="shared" si="28"/>
        <v>0</v>
      </c>
      <c r="F64" s="47">
        <f t="shared" si="28"/>
        <v>0</v>
      </c>
      <c r="G64" s="47">
        <f t="shared" si="28"/>
        <v>0</v>
      </c>
      <c r="H64" s="47">
        <f t="shared" si="28"/>
        <v>0</v>
      </c>
      <c r="I64" s="47">
        <f t="shared" si="28"/>
        <v>0</v>
      </c>
      <c r="J64" s="47">
        <f t="shared" si="28"/>
        <v>0</v>
      </c>
      <c r="K64" s="47">
        <f t="shared" si="28"/>
        <v>0</v>
      </c>
      <c r="L64" s="47">
        <f t="shared" si="28"/>
        <v>0</v>
      </c>
      <c r="M64" s="47">
        <f>M19</f>
        <v>0</v>
      </c>
      <c r="N64" s="47">
        <f t="shared" ref="N64:P64" si="29">N19</f>
        <v>0</v>
      </c>
      <c r="O64" s="47">
        <f t="shared" si="29"/>
        <v>0</v>
      </c>
      <c r="P64" s="47">
        <f t="shared" si="29"/>
        <v>0</v>
      </c>
    </row>
    <row r="65" spans="1:16" x14ac:dyDescent="0.25">
      <c r="A65" t="s">
        <v>98</v>
      </c>
      <c r="B65">
        <f>B41</f>
        <v>938</v>
      </c>
      <c r="C65">
        <f t="shared" ref="C65:L65" si="30">C41</f>
        <v>37279563</v>
      </c>
      <c r="D65">
        <f t="shared" si="30"/>
        <v>0</v>
      </c>
      <c r="E65">
        <f t="shared" si="30"/>
        <v>0</v>
      </c>
      <c r="F65">
        <f t="shared" si="30"/>
        <v>0</v>
      </c>
      <c r="G65">
        <f t="shared" si="30"/>
        <v>0</v>
      </c>
      <c r="H65">
        <f t="shared" si="30"/>
        <v>0</v>
      </c>
      <c r="I65">
        <f t="shared" si="30"/>
        <v>0</v>
      </c>
      <c r="J65">
        <f t="shared" si="30"/>
        <v>0</v>
      </c>
      <c r="K65">
        <f t="shared" si="30"/>
        <v>0</v>
      </c>
      <c r="L65">
        <f t="shared" si="30"/>
        <v>0</v>
      </c>
      <c r="M65">
        <f>M41</f>
        <v>0</v>
      </c>
      <c r="N65">
        <f t="shared" ref="N65:P65" si="31">N41</f>
        <v>0</v>
      </c>
      <c r="O65">
        <f t="shared" si="31"/>
        <v>0</v>
      </c>
      <c r="P65">
        <f t="shared" si="31"/>
        <v>0</v>
      </c>
    </row>
    <row r="66" spans="1:16" x14ac:dyDescent="0.25">
      <c r="A66" t="s">
        <v>99</v>
      </c>
      <c r="B66" s="47">
        <f>B21</f>
        <v>38</v>
      </c>
      <c r="C66" s="47">
        <f>C21</f>
        <v>1601708</v>
      </c>
      <c r="D66" s="47">
        <f t="shared" ref="D66:L66" si="32">D21</f>
        <v>0</v>
      </c>
      <c r="E66" s="47">
        <f t="shared" si="32"/>
        <v>0</v>
      </c>
      <c r="F66" s="47">
        <f t="shared" si="32"/>
        <v>0</v>
      </c>
      <c r="G66" s="47">
        <f t="shared" si="32"/>
        <v>0</v>
      </c>
      <c r="H66" s="47">
        <f t="shared" si="32"/>
        <v>0</v>
      </c>
      <c r="I66" s="47">
        <f t="shared" si="32"/>
        <v>0</v>
      </c>
      <c r="J66" s="47">
        <f t="shared" si="32"/>
        <v>0</v>
      </c>
      <c r="K66" s="47">
        <f t="shared" si="32"/>
        <v>0</v>
      </c>
      <c r="L66" s="47">
        <f t="shared" si="32"/>
        <v>0</v>
      </c>
      <c r="M66" s="47">
        <f>M21</f>
        <v>0</v>
      </c>
      <c r="N66" s="47">
        <f t="shared" ref="N66:P66" si="33">N21</f>
        <v>0</v>
      </c>
      <c r="O66" s="47">
        <f t="shared" si="33"/>
        <v>0</v>
      </c>
      <c r="P66" s="47">
        <f t="shared" si="33"/>
        <v>0</v>
      </c>
    </row>
    <row r="67" spans="1:16" x14ac:dyDescent="0.25">
      <c r="A67" t="s">
        <v>100</v>
      </c>
      <c r="B67" s="47">
        <f>B22</f>
        <v>20</v>
      </c>
      <c r="C67" s="47">
        <f t="shared" ref="C67:L67" si="34">C22</f>
        <v>860870</v>
      </c>
      <c r="D67" s="47">
        <f t="shared" si="34"/>
        <v>0</v>
      </c>
      <c r="E67" s="47">
        <f t="shared" si="34"/>
        <v>0</v>
      </c>
      <c r="F67" s="47">
        <f t="shared" si="34"/>
        <v>0</v>
      </c>
      <c r="G67" s="47">
        <f t="shared" si="34"/>
        <v>0</v>
      </c>
      <c r="H67" s="47">
        <f t="shared" si="34"/>
        <v>0</v>
      </c>
      <c r="I67" s="47">
        <f t="shared" si="34"/>
        <v>0</v>
      </c>
      <c r="J67" s="47">
        <f t="shared" si="34"/>
        <v>0</v>
      </c>
      <c r="K67" s="47">
        <f t="shared" si="34"/>
        <v>0</v>
      </c>
      <c r="L67" s="47">
        <f t="shared" si="34"/>
        <v>0</v>
      </c>
      <c r="M67" s="47">
        <f>M22</f>
        <v>0</v>
      </c>
      <c r="N67" s="47">
        <f t="shared" ref="N67:P67" si="35">N22</f>
        <v>0</v>
      </c>
      <c r="O67" s="47">
        <f t="shared" si="35"/>
        <v>0</v>
      </c>
      <c r="P67" s="47">
        <f t="shared" si="35"/>
        <v>0</v>
      </c>
    </row>
    <row r="68" spans="1:16" x14ac:dyDescent="0.25">
      <c r="A68" s="44" t="s">
        <v>59</v>
      </c>
    </row>
    <row r="69" spans="1:16" x14ac:dyDescent="0.25">
      <c r="A69" t="s">
        <v>50</v>
      </c>
      <c r="B69">
        <f t="shared" ref="B69:B76" si="36">B42</f>
        <v>0</v>
      </c>
      <c r="C69">
        <f t="shared" ref="C69:L69" si="37">C42</f>
        <v>91495</v>
      </c>
      <c r="D69">
        <f t="shared" si="37"/>
        <v>0</v>
      </c>
      <c r="E69">
        <f t="shared" si="37"/>
        <v>0</v>
      </c>
      <c r="F69">
        <f t="shared" si="37"/>
        <v>0</v>
      </c>
      <c r="G69">
        <f t="shared" si="37"/>
        <v>0</v>
      </c>
      <c r="H69">
        <f t="shared" si="37"/>
        <v>0</v>
      </c>
      <c r="I69">
        <f t="shared" si="37"/>
        <v>0</v>
      </c>
      <c r="J69">
        <f t="shared" si="37"/>
        <v>0</v>
      </c>
      <c r="K69">
        <f t="shared" si="37"/>
        <v>0</v>
      </c>
      <c r="L69">
        <f t="shared" si="37"/>
        <v>0</v>
      </c>
      <c r="M69">
        <f>M42</f>
        <v>0</v>
      </c>
      <c r="N69">
        <f t="shared" ref="N69:P69" si="38">N42</f>
        <v>0</v>
      </c>
      <c r="O69">
        <f t="shared" si="38"/>
        <v>0</v>
      </c>
      <c r="P69">
        <f t="shared" si="38"/>
        <v>0</v>
      </c>
    </row>
    <row r="70" spans="1:16" x14ac:dyDescent="0.25">
      <c r="A70" t="s">
        <v>51</v>
      </c>
      <c r="B70">
        <f t="shared" si="36"/>
        <v>0</v>
      </c>
      <c r="C70">
        <f t="shared" ref="C70:L70" si="39">C43</f>
        <v>144450</v>
      </c>
      <c r="D70">
        <f t="shared" si="39"/>
        <v>0</v>
      </c>
      <c r="E70">
        <f t="shared" si="39"/>
        <v>0</v>
      </c>
      <c r="F70">
        <f t="shared" si="39"/>
        <v>0</v>
      </c>
      <c r="G70">
        <f t="shared" si="39"/>
        <v>0</v>
      </c>
      <c r="H70">
        <f t="shared" si="39"/>
        <v>0</v>
      </c>
      <c r="I70">
        <f t="shared" si="39"/>
        <v>0</v>
      </c>
      <c r="J70">
        <f t="shared" si="39"/>
        <v>0</v>
      </c>
      <c r="K70">
        <f t="shared" si="39"/>
        <v>0</v>
      </c>
      <c r="L70">
        <f t="shared" si="39"/>
        <v>0</v>
      </c>
      <c r="M70">
        <f t="shared" ref="M70:P70" si="40">M43</f>
        <v>0</v>
      </c>
      <c r="N70">
        <f t="shared" si="40"/>
        <v>0</v>
      </c>
      <c r="O70">
        <f t="shared" si="40"/>
        <v>0</v>
      </c>
      <c r="P70">
        <f t="shared" si="40"/>
        <v>0</v>
      </c>
    </row>
    <row r="71" spans="1:16" x14ac:dyDescent="0.25">
      <c r="A71" t="s">
        <v>52</v>
      </c>
      <c r="B71">
        <f t="shared" si="36"/>
        <v>0</v>
      </c>
      <c r="C71">
        <f t="shared" ref="C71:L71" si="41">C44</f>
        <v>240895</v>
      </c>
      <c r="D71">
        <f t="shared" si="41"/>
        <v>0</v>
      </c>
      <c r="E71">
        <f t="shared" si="41"/>
        <v>0</v>
      </c>
      <c r="F71">
        <f t="shared" si="41"/>
        <v>0</v>
      </c>
      <c r="G71">
        <f t="shared" si="41"/>
        <v>0</v>
      </c>
      <c r="H71">
        <f t="shared" si="41"/>
        <v>0</v>
      </c>
      <c r="I71">
        <f t="shared" si="41"/>
        <v>0</v>
      </c>
      <c r="J71">
        <f t="shared" si="41"/>
        <v>0</v>
      </c>
      <c r="K71">
        <f t="shared" si="41"/>
        <v>0</v>
      </c>
      <c r="L71">
        <f t="shared" si="41"/>
        <v>0</v>
      </c>
      <c r="M71">
        <f t="shared" ref="M71:P71" si="42">M44</f>
        <v>0</v>
      </c>
      <c r="N71">
        <f t="shared" si="42"/>
        <v>0</v>
      </c>
      <c r="O71">
        <f t="shared" si="42"/>
        <v>0</v>
      </c>
      <c r="P71">
        <f t="shared" si="42"/>
        <v>0</v>
      </c>
    </row>
    <row r="72" spans="1:16" x14ac:dyDescent="0.25">
      <c r="A72" t="s">
        <v>53</v>
      </c>
      <c r="B72">
        <f t="shared" si="36"/>
        <v>0</v>
      </c>
      <c r="C72">
        <f t="shared" ref="C72:L72" si="43">C45</f>
        <v>139550</v>
      </c>
      <c r="D72">
        <f t="shared" si="43"/>
        <v>0</v>
      </c>
      <c r="E72">
        <f t="shared" si="43"/>
        <v>0</v>
      </c>
      <c r="F72">
        <f t="shared" si="43"/>
        <v>0</v>
      </c>
      <c r="G72">
        <f t="shared" si="43"/>
        <v>0</v>
      </c>
      <c r="H72">
        <f t="shared" si="43"/>
        <v>0</v>
      </c>
      <c r="I72">
        <f t="shared" si="43"/>
        <v>0</v>
      </c>
      <c r="J72">
        <f t="shared" si="43"/>
        <v>0</v>
      </c>
      <c r="K72">
        <f t="shared" si="43"/>
        <v>0</v>
      </c>
      <c r="L72">
        <f t="shared" si="43"/>
        <v>0</v>
      </c>
      <c r="M72">
        <f t="shared" ref="M72:P72" si="44">M45</f>
        <v>0</v>
      </c>
      <c r="N72">
        <f t="shared" si="44"/>
        <v>0</v>
      </c>
      <c r="O72">
        <f t="shared" si="44"/>
        <v>0</v>
      </c>
      <c r="P72">
        <f t="shared" si="44"/>
        <v>0</v>
      </c>
    </row>
    <row r="73" spans="1:16" x14ac:dyDescent="0.25">
      <c r="A73" t="s">
        <v>54</v>
      </c>
      <c r="B73">
        <f t="shared" si="36"/>
        <v>0</v>
      </c>
      <c r="C73">
        <f t="shared" ref="C73:L73" si="45">C46</f>
        <v>29410</v>
      </c>
      <c r="D73">
        <f t="shared" si="45"/>
        <v>0</v>
      </c>
      <c r="E73">
        <f t="shared" si="45"/>
        <v>0</v>
      </c>
      <c r="F73">
        <f t="shared" si="45"/>
        <v>0</v>
      </c>
      <c r="G73">
        <f t="shared" si="45"/>
        <v>0</v>
      </c>
      <c r="H73">
        <f t="shared" si="45"/>
        <v>0</v>
      </c>
      <c r="I73">
        <f t="shared" si="45"/>
        <v>0</v>
      </c>
      <c r="J73">
        <f t="shared" si="45"/>
        <v>0</v>
      </c>
      <c r="K73">
        <f t="shared" si="45"/>
        <v>0</v>
      </c>
      <c r="L73">
        <f t="shared" si="45"/>
        <v>0</v>
      </c>
      <c r="M73">
        <f t="shared" ref="M73:P73" si="46">M46</f>
        <v>0</v>
      </c>
      <c r="N73">
        <f t="shared" si="46"/>
        <v>0</v>
      </c>
      <c r="O73">
        <f t="shared" si="46"/>
        <v>0</v>
      </c>
      <c r="P73">
        <f t="shared" si="46"/>
        <v>0</v>
      </c>
    </row>
    <row r="74" spans="1:16" x14ac:dyDescent="0.25">
      <c r="A74" t="s">
        <v>55</v>
      </c>
      <c r="B74">
        <f t="shared" si="36"/>
        <v>0</v>
      </c>
      <c r="C74">
        <f t="shared" ref="C74:L74" si="47">C47</f>
        <v>40395</v>
      </c>
      <c r="D74">
        <f t="shared" si="47"/>
        <v>0</v>
      </c>
      <c r="E74">
        <f t="shared" si="47"/>
        <v>0</v>
      </c>
      <c r="F74">
        <f t="shared" si="47"/>
        <v>0</v>
      </c>
      <c r="G74">
        <f t="shared" si="47"/>
        <v>0</v>
      </c>
      <c r="H74">
        <f t="shared" si="47"/>
        <v>0</v>
      </c>
      <c r="I74">
        <f t="shared" si="47"/>
        <v>0</v>
      </c>
      <c r="J74">
        <f t="shared" si="47"/>
        <v>0</v>
      </c>
      <c r="K74">
        <f t="shared" si="47"/>
        <v>0</v>
      </c>
      <c r="L74">
        <f t="shared" si="47"/>
        <v>0</v>
      </c>
      <c r="M74">
        <f t="shared" ref="M74:P74" si="48">M47</f>
        <v>0</v>
      </c>
      <c r="N74">
        <f t="shared" si="48"/>
        <v>0</v>
      </c>
      <c r="O74">
        <f t="shared" si="48"/>
        <v>0</v>
      </c>
      <c r="P74">
        <f t="shared" si="48"/>
        <v>0</v>
      </c>
    </row>
    <row r="75" spans="1:16" x14ac:dyDescent="0.25">
      <c r="A75" t="s">
        <v>56</v>
      </c>
      <c r="B75">
        <f t="shared" si="36"/>
        <v>0</v>
      </c>
      <c r="C75">
        <f t="shared" ref="C75:L75" si="49">C48</f>
        <v>60799</v>
      </c>
      <c r="D75">
        <f t="shared" si="49"/>
        <v>0</v>
      </c>
      <c r="E75">
        <f t="shared" si="49"/>
        <v>0</v>
      </c>
      <c r="F75">
        <f t="shared" si="49"/>
        <v>0</v>
      </c>
      <c r="G75">
        <f t="shared" si="49"/>
        <v>0</v>
      </c>
      <c r="H75">
        <f t="shared" si="49"/>
        <v>0</v>
      </c>
      <c r="I75">
        <f t="shared" si="49"/>
        <v>0</v>
      </c>
      <c r="J75">
        <f t="shared" si="49"/>
        <v>0</v>
      </c>
      <c r="K75">
        <f t="shared" si="49"/>
        <v>0</v>
      </c>
      <c r="L75">
        <f t="shared" si="49"/>
        <v>0</v>
      </c>
      <c r="M75">
        <f t="shared" ref="M75:P75" si="50">M48</f>
        <v>0</v>
      </c>
      <c r="N75">
        <f t="shared" si="50"/>
        <v>0</v>
      </c>
      <c r="O75">
        <f t="shared" si="50"/>
        <v>0</v>
      </c>
      <c r="P75">
        <f t="shared" si="50"/>
        <v>0</v>
      </c>
    </row>
    <row r="76" spans="1:16" x14ac:dyDescent="0.25">
      <c r="A76" t="s">
        <v>57</v>
      </c>
      <c r="B76">
        <f t="shared" si="36"/>
        <v>0</v>
      </c>
      <c r="C76">
        <f t="shared" ref="C76:L76" si="51">C49</f>
        <v>34400</v>
      </c>
      <c r="D76">
        <f t="shared" si="51"/>
        <v>0</v>
      </c>
      <c r="E76">
        <f t="shared" si="51"/>
        <v>0</v>
      </c>
      <c r="F76">
        <f t="shared" si="51"/>
        <v>0</v>
      </c>
      <c r="G76">
        <f t="shared" si="51"/>
        <v>0</v>
      </c>
      <c r="H76">
        <f t="shared" si="51"/>
        <v>0</v>
      </c>
      <c r="I76">
        <f t="shared" si="51"/>
        <v>0</v>
      </c>
      <c r="J76">
        <f t="shared" si="51"/>
        <v>0</v>
      </c>
      <c r="K76">
        <f t="shared" si="51"/>
        <v>0</v>
      </c>
      <c r="L76">
        <f t="shared" si="51"/>
        <v>0</v>
      </c>
      <c r="M76">
        <f t="shared" ref="M76:P76" si="52">M49</f>
        <v>0</v>
      </c>
      <c r="N76">
        <f t="shared" si="52"/>
        <v>0</v>
      </c>
      <c r="O76">
        <f t="shared" si="52"/>
        <v>0</v>
      </c>
      <c r="P76">
        <f t="shared" si="52"/>
        <v>0</v>
      </c>
    </row>
    <row r="77" spans="1:16" x14ac:dyDescent="0.25">
      <c r="A77" s="44" t="s">
        <v>75</v>
      </c>
    </row>
    <row r="78" spans="1:16" x14ac:dyDescent="0.25">
      <c r="A78" t="s">
        <v>50</v>
      </c>
      <c r="B78">
        <f t="shared" ref="B78:B85" si="53">B50</f>
        <v>0</v>
      </c>
      <c r="C78">
        <f t="shared" ref="C78:L78" si="54">C50</f>
        <v>456330</v>
      </c>
      <c r="D78">
        <f t="shared" si="54"/>
        <v>0</v>
      </c>
      <c r="E78">
        <f t="shared" si="54"/>
        <v>0</v>
      </c>
      <c r="F78">
        <f t="shared" si="54"/>
        <v>0</v>
      </c>
      <c r="G78">
        <f t="shared" si="54"/>
        <v>0</v>
      </c>
      <c r="H78">
        <f t="shared" si="54"/>
        <v>0</v>
      </c>
      <c r="I78">
        <f t="shared" si="54"/>
        <v>0</v>
      </c>
      <c r="J78">
        <f t="shared" si="54"/>
        <v>0</v>
      </c>
      <c r="K78">
        <f t="shared" si="54"/>
        <v>0</v>
      </c>
      <c r="L78">
        <f t="shared" si="54"/>
        <v>0</v>
      </c>
      <c r="M78">
        <f>M50</f>
        <v>0</v>
      </c>
      <c r="N78">
        <f t="shared" ref="N78:P78" si="55">N50</f>
        <v>0</v>
      </c>
      <c r="O78">
        <f t="shared" si="55"/>
        <v>0</v>
      </c>
      <c r="P78">
        <f t="shared" si="55"/>
        <v>0</v>
      </c>
    </row>
    <row r="79" spans="1:16" x14ac:dyDescent="0.25">
      <c r="A79" t="s">
        <v>51</v>
      </c>
      <c r="B79">
        <f t="shared" si="53"/>
        <v>30</v>
      </c>
      <c r="C79">
        <f t="shared" ref="C79:L79" si="56">C51</f>
        <v>389080</v>
      </c>
      <c r="D79">
        <f t="shared" si="56"/>
        <v>0</v>
      </c>
      <c r="E79">
        <f t="shared" si="56"/>
        <v>0</v>
      </c>
      <c r="F79">
        <f t="shared" si="56"/>
        <v>0</v>
      </c>
      <c r="G79">
        <f t="shared" si="56"/>
        <v>0</v>
      </c>
      <c r="H79">
        <f t="shared" si="56"/>
        <v>0</v>
      </c>
      <c r="I79">
        <f t="shared" si="56"/>
        <v>0</v>
      </c>
      <c r="J79">
        <f t="shared" si="56"/>
        <v>0</v>
      </c>
      <c r="K79">
        <f t="shared" si="56"/>
        <v>0</v>
      </c>
      <c r="L79">
        <f t="shared" si="56"/>
        <v>0</v>
      </c>
      <c r="M79">
        <f t="shared" ref="M79:P79" si="57">M51</f>
        <v>0</v>
      </c>
      <c r="N79">
        <f t="shared" si="57"/>
        <v>0</v>
      </c>
      <c r="O79">
        <f t="shared" si="57"/>
        <v>0</v>
      </c>
      <c r="P79">
        <f t="shared" si="57"/>
        <v>0</v>
      </c>
    </row>
    <row r="80" spans="1:16" x14ac:dyDescent="0.25">
      <c r="A80" t="s">
        <v>52</v>
      </c>
      <c r="B80">
        <f t="shared" si="53"/>
        <v>0</v>
      </c>
      <c r="C80">
        <f t="shared" ref="C80:L80" si="58">C52</f>
        <v>368890</v>
      </c>
      <c r="D80">
        <f t="shared" si="58"/>
        <v>0</v>
      </c>
      <c r="E80">
        <f t="shared" si="58"/>
        <v>0</v>
      </c>
      <c r="F80">
        <f t="shared" si="58"/>
        <v>0</v>
      </c>
      <c r="G80">
        <f t="shared" si="58"/>
        <v>0</v>
      </c>
      <c r="H80">
        <f t="shared" si="58"/>
        <v>0</v>
      </c>
      <c r="I80">
        <f t="shared" si="58"/>
        <v>0</v>
      </c>
      <c r="J80">
        <f t="shared" si="58"/>
        <v>0</v>
      </c>
      <c r="K80">
        <f t="shared" si="58"/>
        <v>0</v>
      </c>
      <c r="L80">
        <f t="shared" si="58"/>
        <v>0</v>
      </c>
      <c r="M80">
        <f t="shared" ref="M80:P80" si="59">M52</f>
        <v>0</v>
      </c>
      <c r="N80">
        <f t="shared" si="59"/>
        <v>0</v>
      </c>
      <c r="O80">
        <f t="shared" si="59"/>
        <v>0</v>
      </c>
      <c r="P80">
        <f t="shared" si="59"/>
        <v>0</v>
      </c>
    </row>
    <row r="81" spans="1:16" x14ac:dyDescent="0.25">
      <c r="A81" t="s">
        <v>53</v>
      </c>
      <c r="B81">
        <f t="shared" si="53"/>
        <v>10</v>
      </c>
      <c r="C81">
        <f t="shared" ref="C81:L81" si="60">C53</f>
        <v>143920</v>
      </c>
      <c r="D81">
        <f t="shared" si="60"/>
        <v>0</v>
      </c>
      <c r="E81">
        <f t="shared" si="60"/>
        <v>0</v>
      </c>
      <c r="F81">
        <f t="shared" si="60"/>
        <v>0</v>
      </c>
      <c r="G81">
        <f t="shared" si="60"/>
        <v>0</v>
      </c>
      <c r="H81">
        <f t="shared" si="60"/>
        <v>0</v>
      </c>
      <c r="I81">
        <f t="shared" si="60"/>
        <v>0</v>
      </c>
      <c r="J81">
        <f t="shared" si="60"/>
        <v>0</v>
      </c>
      <c r="K81">
        <f t="shared" si="60"/>
        <v>0</v>
      </c>
      <c r="L81">
        <f t="shared" si="60"/>
        <v>0</v>
      </c>
      <c r="M81">
        <f t="shared" ref="M81:P81" si="61">M53</f>
        <v>0</v>
      </c>
      <c r="N81">
        <f t="shared" si="61"/>
        <v>0</v>
      </c>
      <c r="O81">
        <f t="shared" si="61"/>
        <v>0</v>
      </c>
      <c r="P81">
        <f t="shared" si="61"/>
        <v>0</v>
      </c>
    </row>
    <row r="82" spans="1:16" x14ac:dyDescent="0.25">
      <c r="A82" t="s">
        <v>54</v>
      </c>
      <c r="B82">
        <f t="shared" si="53"/>
        <v>0</v>
      </c>
      <c r="C82">
        <f t="shared" ref="C82:L82" si="62">C54</f>
        <v>269105</v>
      </c>
      <c r="D82">
        <f t="shared" si="62"/>
        <v>0</v>
      </c>
      <c r="E82">
        <f t="shared" si="62"/>
        <v>0</v>
      </c>
      <c r="F82">
        <f t="shared" si="62"/>
        <v>0</v>
      </c>
      <c r="G82">
        <f t="shared" si="62"/>
        <v>0</v>
      </c>
      <c r="H82">
        <f t="shared" si="62"/>
        <v>0</v>
      </c>
      <c r="I82">
        <f t="shared" si="62"/>
        <v>0</v>
      </c>
      <c r="J82">
        <f t="shared" si="62"/>
        <v>0</v>
      </c>
      <c r="K82">
        <f t="shared" si="62"/>
        <v>0</v>
      </c>
      <c r="L82">
        <f t="shared" si="62"/>
        <v>0</v>
      </c>
      <c r="M82">
        <f t="shared" ref="M82:P82" si="63">M54</f>
        <v>0</v>
      </c>
      <c r="N82">
        <f t="shared" si="63"/>
        <v>0</v>
      </c>
      <c r="O82">
        <f t="shared" si="63"/>
        <v>0</v>
      </c>
      <c r="P82">
        <f t="shared" si="63"/>
        <v>0</v>
      </c>
    </row>
    <row r="83" spans="1:16" x14ac:dyDescent="0.25">
      <c r="A83" t="s">
        <v>55</v>
      </c>
      <c r="B83">
        <f t="shared" si="53"/>
        <v>0</v>
      </c>
      <c r="C83">
        <f t="shared" ref="C83:L83" si="64">C55</f>
        <v>198015</v>
      </c>
      <c r="D83">
        <f t="shared" si="64"/>
        <v>0</v>
      </c>
      <c r="E83">
        <f t="shared" si="64"/>
        <v>0</v>
      </c>
      <c r="F83">
        <f t="shared" si="64"/>
        <v>0</v>
      </c>
      <c r="G83">
        <f t="shared" si="64"/>
        <v>0</v>
      </c>
      <c r="H83">
        <f t="shared" si="64"/>
        <v>0</v>
      </c>
      <c r="I83">
        <f t="shared" si="64"/>
        <v>0</v>
      </c>
      <c r="J83">
        <f t="shared" si="64"/>
        <v>0</v>
      </c>
      <c r="K83">
        <f t="shared" si="64"/>
        <v>0</v>
      </c>
      <c r="L83">
        <f t="shared" si="64"/>
        <v>0</v>
      </c>
      <c r="M83">
        <f t="shared" ref="M83:P83" si="65">M55</f>
        <v>0</v>
      </c>
      <c r="N83">
        <f t="shared" si="65"/>
        <v>0</v>
      </c>
      <c r="O83">
        <f t="shared" si="65"/>
        <v>0</v>
      </c>
      <c r="P83">
        <f t="shared" si="65"/>
        <v>0</v>
      </c>
    </row>
    <row r="84" spans="1:16" x14ac:dyDescent="0.25">
      <c r="A84" t="s">
        <v>56</v>
      </c>
      <c r="B84">
        <f t="shared" si="53"/>
        <v>0</v>
      </c>
      <c r="C84">
        <f t="shared" ref="C84:L84" si="66">C56</f>
        <v>173530</v>
      </c>
      <c r="D84">
        <f t="shared" si="66"/>
        <v>0</v>
      </c>
      <c r="E84">
        <f t="shared" si="66"/>
        <v>0</v>
      </c>
      <c r="F84">
        <f t="shared" si="66"/>
        <v>0</v>
      </c>
      <c r="G84">
        <f t="shared" si="66"/>
        <v>0</v>
      </c>
      <c r="H84">
        <f t="shared" si="66"/>
        <v>0</v>
      </c>
      <c r="I84">
        <f t="shared" si="66"/>
        <v>0</v>
      </c>
      <c r="J84">
        <f t="shared" si="66"/>
        <v>0</v>
      </c>
      <c r="K84">
        <f t="shared" si="66"/>
        <v>0</v>
      </c>
      <c r="L84">
        <f t="shared" si="66"/>
        <v>0</v>
      </c>
      <c r="M84">
        <f t="shared" ref="M84:P84" si="67">M56</f>
        <v>0</v>
      </c>
      <c r="N84">
        <f t="shared" si="67"/>
        <v>0</v>
      </c>
      <c r="O84">
        <f t="shared" si="67"/>
        <v>0</v>
      </c>
      <c r="P84">
        <f t="shared" si="67"/>
        <v>0</v>
      </c>
    </row>
    <row r="85" spans="1:16" x14ac:dyDescent="0.25">
      <c r="A85" t="s">
        <v>57</v>
      </c>
      <c r="B85">
        <f t="shared" si="53"/>
        <v>20</v>
      </c>
      <c r="C85">
        <f t="shared" ref="C85:L85" si="68">C57</f>
        <v>67185</v>
      </c>
      <c r="D85">
        <f t="shared" si="68"/>
        <v>0</v>
      </c>
      <c r="E85">
        <f t="shared" si="68"/>
        <v>0</v>
      </c>
      <c r="F85">
        <f t="shared" si="68"/>
        <v>0</v>
      </c>
      <c r="G85">
        <f t="shared" si="68"/>
        <v>0</v>
      </c>
      <c r="H85">
        <f t="shared" si="68"/>
        <v>0</v>
      </c>
      <c r="I85">
        <f t="shared" si="68"/>
        <v>0</v>
      </c>
      <c r="J85">
        <f t="shared" si="68"/>
        <v>0</v>
      </c>
      <c r="K85">
        <f t="shared" si="68"/>
        <v>0</v>
      </c>
      <c r="L85">
        <f t="shared" si="68"/>
        <v>0</v>
      </c>
      <c r="M85">
        <f t="shared" ref="M85:P85" si="69">M57</f>
        <v>0</v>
      </c>
      <c r="N85">
        <f t="shared" si="69"/>
        <v>0</v>
      </c>
      <c r="O85">
        <f t="shared" si="69"/>
        <v>0</v>
      </c>
      <c r="P85">
        <f t="shared" si="69"/>
        <v>0</v>
      </c>
    </row>
    <row r="87" spans="1:16" x14ac:dyDescent="0.25">
      <c r="A87" s="44" t="s">
        <v>118</v>
      </c>
    </row>
    <row r="88" spans="1:16" x14ac:dyDescent="0.25">
      <c r="A88" s="3" t="s">
        <v>120</v>
      </c>
      <c r="B88" s="182">
        <v>1648</v>
      </c>
      <c r="C88">
        <v>131642457</v>
      </c>
    </row>
    <row r="89" spans="1:16" x14ac:dyDescent="0.25">
      <c r="A89" s="3" t="s">
        <v>121</v>
      </c>
      <c r="B89" s="182">
        <v>25180</v>
      </c>
      <c r="C89">
        <v>53046</v>
      </c>
    </row>
    <row r="90" spans="1:16" x14ac:dyDescent="0.25">
      <c r="A90" s="3" t="s">
        <v>122</v>
      </c>
      <c r="B90" s="182">
        <v>670</v>
      </c>
      <c r="C90">
        <v>41455052</v>
      </c>
    </row>
    <row r="91" spans="1:16" x14ac:dyDescent="0.25">
      <c r="A91" s="3" t="s">
        <v>123</v>
      </c>
      <c r="B91" s="186">
        <v>645</v>
      </c>
      <c r="C91">
        <v>25644044</v>
      </c>
    </row>
    <row r="92" spans="1:16" x14ac:dyDescent="0.25">
      <c r="A92" s="3" t="s">
        <v>124</v>
      </c>
      <c r="B92" s="182">
        <v>25</v>
      </c>
      <c r="C92">
        <v>15811008</v>
      </c>
    </row>
    <row r="93" spans="1:16" x14ac:dyDescent="0.25">
      <c r="A93" s="3" t="s">
        <v>125</v>
      </c>
      <c r="B93" s="186">
        <v>194</v>
      </c>
      <c r="C93">
        <v>10213138</v>
      </c>
    </row>
    <row r="94" spans="1:16" x14ac:dyDescent="0.25">
      <c r="A94" s="3" t="s">
        <v>126</v>
      </c>
      <c r="B94" s="182">
        <v>14</v>
      </c>
      <c r="C94">
        <v>12118985</v>
      </c>
    </row>
    <row r="95" spans="1:16" x14ac:dyDescent="0.25">
      <c r="A95" s="3" t="s">
        <v>127</v>
      </c>
      <c r="B95" s="186">
        <v>451</v>
      </c>
      <c r="C95">
        <v>15430906</v>
      </c>
    </row>
    <row r="96" spans="1:16" x14ac:dyDescent="0.25">
      <c r="A96" s="3" t="s">
        <v>128</v>
      </c>
      <c r="B96" s="182">
        <v>11</v>
      </c>
      <c r="C96">
        <v>3692023</v>
      </c>
    </row>
    <row r="97" spans="1:3" x14ac:dyDescent="0.25">
      <c r="A97" s="3" t="s">
        <v>137</v>
      </c>
      <c r="B97" s="187">
        <v>30</v>
      </c>
      <c r="C97">
        <v>745255</v>
      </c>
    </row>
    <row r="98" spans="1:3" x14ac:dyDescent="0.25">
      <c r="A98" s="3" t="s">
        <v>138</v>
      </c>
      <c r="B98" s="187">
        <v>45</v>
      </c>
      <c r="C98">
        <v>1633870</v>
      </c>
    </row>
    <row r="99" spans="1:3" x14ac:dyDescent="0.25">
      <c r="A99" s="3" t="s">
        <v>139</v>
      </c>
      <c r="B99" s="187">
        <v>75</v>
      </c>
      <c r="C99">
        <v>2937230</v>
      </c>
    </row>
    <row r="100" spans="1:3" x14ac:dyDescent="0.25">
      <c r="A100" s="3" t="s">
        <v>140</v>
      </c>
      <c r="B100" s="187">
        <v>0</v>
      </c>
      <c r="C100">
        <v>1984555</v>
      </c>
    </row>
    <row r="101" spans="1:3" x14ac:dyDescent="0.25">
      <c r="A101" s="3" t="s">
        <v>141</v>
      </c>
      <c r="B101" s="188">
        <v>4</v>
      </c>
      <c r="C101">
        <v>2850540</v>
      </c>
    </row>
    <row r="102" spans="1:3" x14ac:dyDescent="0.25">
      <c r="A102" s="3" t="s">
        <v>142</v>
      </c>
      <c r="B102" s="188">
        <v>30</v>
      </c>
      <c r="C102">
        <v>2159905</v>
      </c>
    </row>
    <row r="103" spans="1:3" x14ac:dyDescent="0.25">
      <c r="A103" s="3" t="s">
        <v>143</v>
      </c>
      <c r="B103" s="188">
        <v>0</v>
      </c>
      <c r="C103">
        <v>1897500</v>
      </c>
    </row>
    <row r="104" spans="1:3" x14ac:dyDescent="0.25">
      <c r="A104" s="3" t="s">
        <v>144</v>
      </c>
      <c r="B104" s="188">
        <v>0</v>
      </c>
      <c r="C104">
        <v>642430</v>
      </c>
    </row>
    <row r="105" spans="1:3" x14ac:dyDescent="0.25">
      <c r="A105" s="3" t="s">
        <v>145</v>
      </c>
      <c r="B105" s="186">
        <v>125</v>
      </c>
      <c r="C105">
        <v>5595135</v>
      </c>
    </row>
    <row r="106" spans="1:3" x14ac:dyDescent="0.25">
      <c r="A106" s="3" t="s">
        <v>146</v>
      </c>
      <c r="B106" s="182">
        <v>309</v>
      </c>
      <c r="C106">
        <v>15529340</v>
      </c>
    </row>
    <row r="107" spans="1:3" x14ac:dyDescent="0.25">
      <c r="A107" s="3" t="s">
        <v>147</v>
      </c>
      <c r="B107" s="186">
        <v>344</v>
      </c>
      <c r="C107">
        <v>23673290</v>
      </c>
    </row>
    <row r="108" spans="1:3" x14ac:dyDescent="0.25">
      <c r="A108" s="3" t="s">
        <v>133</v>
      </c>
      <c r="B108" s="187">
        <v>50</v>
      </c>
      <c r="C108">
        <v>1015395</v>
      </c>
    </row>
    <row r="109" spans="1:3" x14ac:dyDescent="0.25">
      <c r="A109" s="3" t="s">
        <v>134</v>
      </c>
      <c r="B109" s="187">
        <v>165</v>
      </c>
      <c r="C109">
        <v>2776530</v>
      </c>
    </row>
    <row r="110" spans="1:3" x14ac:dyDescent="0.25">
      <c r="A110" s="3" t="s">
        <v>135</v>
      </c>
      <c r="B110" s="187">
        <v>70</v>
      </c>
      <c r="C110">
        <v>3005340</v>
      </c>
    </row>
    <row r="111" spans="1:3" x14ac:dyDescent="0.25">
      <c r="A111" s="3" t="s">
        <v>136</v>
      </c>
      <c r="B111" s="187">
        <v>0</v>
      </c>
      <c r="C111">
        <v>720130</v>
      </c>
    </row>
    <row r="112" spans="1:3" x14ac:dyDescent="0.25">
      <c r="A112" s="3" t="s">
        <v>131</v>
      </c>
      <c r="B112" s="188">
        <v>80</v>
      </c>
      <c r="C112">
        <v>5812325</v>
      </c>
    </row>
    <row r="113" spans="1:16" x14ac:dyDescent="0.25">
      <c r="A113" s="3" t="s">
        <v>132</v>
      </c>
      <c r="B113" s="188">
        <v>10</v>
      </c>
      <c r="C113">
        <v>2253430</v>
      </c>
    </row>
    <row r="114" spans="1:16" x14ac:dyDescent="0.25">
      <c r="A114" s="3" t="s">
        <v>130</v>
      </c>
      <c r="B114" s="188">
        <v>30</v>
      </c>
      <c r="C114">
        <v>558755</v>
      </c>
    </row>
    <row r="115" spans="1:16" x14ac:dyDescent="0.25">
      <c r="A115" s="3" t="s">
        <v>129</v>
      </c>
      <c r="B115" s="188">
        <v>0</v>
      </c>
      <c r="C115">
        <v>69515</v>
      </c>
    </row>
    <row r="116" spans="1:16" x14ac:dyDescent="0.25">
      <c r="A116" s="3" t="s">
        <v>148</v>
      </c>
      <c r="B116" s="182">
        <v>155</v>
      </c>
      <c r="C116">
        <v>3005330</v>
      </c>
    </row>
    <row r="117" spans="1:16" x14ac:dyDescent="0.25">
      <c r="A117" s="3" t="s">
        <v>149</v>
      </c>
      <c r="B117" s="186">
        <v>429</v>
      </c>
      <c r="C117">
        <v>9658495</v>
      </c>
    </row>
    <row r="118" spans="1:16" x14ac:dyDescent="0.25">
      <c r="A118" s="3" t="s">
        <v>150</v>
      </c>
      <c r="B118" s="182">
        <v>799</v>
      </c>
      <c r="C118">
        <v>24161450</v>
      </c>
    </row>
    <row r="120" spans="1:16" x14ac:dyDescent="0.25">
      <c r="A120" s="1" t="s">
        <v>23</v>
      </c>
      <c r="B120" t="str">
        <f>B6</f>
        <v>For Tract 30111000300</v>
      </c>
      <c r="C120" t="str">
        <f t="shared" ref="C120:P120" si="70">C6</f>
        <v>Nation</v>
      </c>
      <c r="D120">
        <f t="shared" si="70"/>
        <v>0</v>
      </c>
      <c r="E120">
        <f t="shared" si="70"/>
        <v>0</v>
      </c>
      <c r="F120">
        <f t="shared" si="70"/>
        <v>0</v>
      </c>
      <c r="G120">
        <f t="shared" si="70"/>
        <v>0</v>
      </c>
      <c r="H120">
        <f t="shared" si="70"/>
        <v>0</v>
      </c>
      <c r="I120">
        <f t="shared" si="70"/>
        <v>0</v>
      </c>
      <c r="J120">
        <f t="shared" si="70"/>
        <v>0</v>
      </c>
      <c r="K120">
        <f t="shared" si="70"/>
        <v>0</v>
      </c>
      <c r="L120">
        <f t="shared" si="70"/>
        <v>0</v>
      </c>
      <c r="M120">
        <f t="shared" si="70"/>
        <v>0</v>
      </c>
      <c r="N120">
        <f t="shared" si="70"/>
        <v>0</v>
      </c>
      <c r="O120">
        <f t="shared" si="70"/>
        <v>0</v>
      </c>
      <c r="P120">
        <f t="shared" si="70"/>
        <v>0</v>
      </c>
    </row>
    <row r="121" spans="1:16" x14ac:dyDescent="0.25">
      <c r="A121" s="3" t="s">
        <v>181</v>
      </c>
      <c r="B121" s="47">
        <f>B8</f>
        <v>1556</v>
      </c>
      <c r="C121" s="47">
        <f t="shared" ref="C121:P121" si="71">C8</f>
        <v>115226802</v>
      </c>
      <c r="D121" s="47">
        <f t="shared" si="71"/>
        <v>0</v>
      </c>
      <c r="E121" s="47">
        <f t="shared" si="71"/>
        <v>0</v>
      </c>
      <c r="F121" s="47">
        <f t="shared" si="71"/>
        <v>0</v>
      </c>
      <c r="G121" s="47">
        <f t="shared" si="71"/>
        <v>0</v>
      </c>
      <c r="H121" s="47">
        <f t="shared" si="71"/>
        <v>0</v>
      </c>
      <c r="I121" s="47">
        <f t="shared" si="71"/>
        <v>0</v>
      </c>
      <c r="J121" s="47">
        <f t="shared" si="71"/>
        <v>0</v>
      </c>
      <c r="K121" s="47">
        <f t="shared" si="71"/>
        <v>0</v>
      </c>
      <c r="L121" s="47">
        <f t="shared" si="71"/>
        <v>0</v>
      </c>
      <c r="M121" s="47">
        <f t="shared" si="71"/>
        <v>0</v>
      </c>
      <c r="N121" s="47">
        <f t="shared" si="71"/>
        <v>0</v>
      </c>
      <c r="O121" s="47">
        <f t="shared" si="71"/>
        <v>0</v>
      </c>
      <c r="P121" s="47">
        <f t="shared" si="71"/>
        <v>0</v>
      </c>
    </row>
    <row r="122" spans="1:16" x14ac:dyDescent="0.25">
      <c r="A122" t="s">
        <v>61</v>
      </c>
      <c r="B122" s="48">
        <f t="shared" ref="B122:B129" si="72">B89</f>
        <v>25180</v>
      </c>
      <c r="C122" s="48">
        <f t="shared" ref="C122:P122" si="73">C89</f>
        <v>53046</v>
      </c>
      <c r="D122" s="48">
        <f t="shared" si="73"/>
        <v>0</v>
      </c>
      <c r="E122" s="48">
        <f t="shared" si="73"/>
        <v>0</v>
      </c>
      <c r="F122" s="48">
        <f t="shared" si="73"/>
        <v>0</v>
      </c>
      <c r="G122" s="48">
        <f t="shared" si="73"/>
        <v>0</v>
      </c>
      <c r="H122" s="48">
        <f t="shared" si="73"/>
        <v>0</v>
      </c>
      <c r="I122" s="48">
        <f t="shared" si="73"/>
        <v>0</v>
      </c>
      <c r="J122" s="48">
        <f t="shared" si="73"/>
        <v>0</v>
      </c>
      <c r="K122" s="48">
        <f t="shared" si="73"/>
        <v>0</v>
      </c>
      <c r="L122" s="48">
        <f t="shared" si="73"/>
        <v>0</v>
      </c>
      <c r="M122" s="48">
        <f t="shared" si="73"/>
        <v>0</v>
      </c>
      <c r="N122" s="48">
        <f t="shared" si="73"/>
        <v>0</v>
      </c>
      <c r="O122" s="48">
        <f t="shared" si="73"/>
        <v>0</v>
      </c>
      <c r="P122" s="48">
        <f t="shared" si="73"/>
        <v>0</v>
      </c>
    </row>
    <row r="123" spans="1:16" x14ac:dyDescent="0.25">
      <c r="A123" t="s">
        <v>62</v>
      </c>
      <c r="B123">
        <f t="shared" si="72"/>
        <v>670</v>
      </c>
      <c r="C123">
        <f t="shared" ref="C123:P123" si="74">C90</f>
        <v>41455052</v>
      </c>
      <c r="D123">
        <f t="shared" si="74"/>
        <v>0</v>
      </c>
      <c r="E123">
        <f t="shared" si="74"/>
        <v>0</v>
      </c>
      <c r="F123">
        <f t="shared" si="74"/>
        <v>0</v>
      </c>
      <c r="G123">
        <f t="shared" si="74"/>
        <v>0</v>
      </c>
      <c r="H123">
        <f t="shared" si="74"/>
        <v>0</v>
      </c>
      <c r="I123">
        <f t="shared" si="74"/>
        <v>0</v>
      </c>
      <c r="J123">
        <f t="shared" si="74"/>
        <v>0</v>
      </c>
      <c r="K123">
        <f t="shared" si="74"/>
        <v>0</v>
      </c>
      <c r="L123">
        <f t="shared" si="74"/>
        <v>0</v>
      </c>
      <c r="M123">
        <f t="shared" si="74"/>
        <v>0</v>
      </c>
      <c r="N123">
        <f t="shared" si="74"/>
        <v>0</v>
      </c>
      <c r="O123">
        <f t="shared" si="74"/>
        <v>0</v>
      </c>
      <c r="P123">
        <f t="shared" si="74"/>
        <v>0</v>
      </c>
    </row>
    <row r="124" spans="1:16" x14ac:dyDescent="0.25">
      <c r="A124" t="s">
        <v>63</v>
      </c>
      <c r="B124">
        <f t="shared" si="72"/>
        <v>645</v>
      </c>
      <c r="C124">
        <f t="shared" ref="C124:P124" si="75">C91</f>
        <v>25644044</v>
      </c>
      <c r="D124">
        <f t="shared" si="75"/>
        <v>0</v>
      </c>
      <c r="E124">
        <f t="shared" si="75"/>
        <v>0</v>
      </c>
      <c r="F124">
        <f t="shared" si="75"/>
        <v>0</v>
      </c>
      <c r="G124">
        <f t="shared" si="75"/>
        <v>0</v>
      </c>
      <c r="H124">
        <f t="shared" si="75"/>
        <v>0</v>
      </c>
      <c r="I124">
        <f t="shared" si="75"/>
        <v>0</v>
      </c>
      <c r="J124">
        <f t="shared" si="75"/>
        <v>0</v>
      </c>
      <c r="K124">
        <f t="shared" si="75"/>
        <v>0</v>
      </c>
      <c r="L124">
        <f t="shared" si="75"/>
        <v>0</v>
      </c>
      <c r="M124">
        <f t="shared" si="75"/>
        <v>0</v>
      </c>
      <c r="N124">
        <f t="shared" si="75"/>
        <v>0</v>
      </c>
      <c r="O124">
        <f t="shared" si="75"/>
        <v>0</v>
      </c>
      <c r="P124">
        <f t="shared" si="75"/>
        <v>0</v>
      </c>
    </row>
    <row r="125" spans="1:16" x14ac:dyDescent="0.25">
      <c r="A125" t="s">
        <v>64</v>
      </c>
      <c r="B125">
        <f t="shared" si="72"/>
        <v>25</v>
      </c>
      <c r="C125">
        <f t="shared" ref="C125:P125" si="76">C92</f>
        <v>15811008</v>
      </c>
      <c r="D125">
        <f t="shared" si="76"/>
        <v>0</v>
      </c>
      <c r="E125">
        <f t="shared" si="76"/>
        <v>0</v>
      </c>
      <c r="F125">
        <f t="shared" si="76"/>
        <v>0</v>
      </c>
      <c r="G125">
        <f t="shared" si="76"/>
        <v>0</v>
      </c>
      <c r="H125">
        <f t="shared" si="76"/>
        <v>0</v>
      </c>
      <c r="I125">
        <f t="shared" si="76"/>
        <v>0</v>
      </c>
      <c r="J125">
        <f t="shared" si="76"/>
        <v>0</v>
      </c>
      <c r="K125">
        <f t="shared" si="76"/>
        <v>0</v>
      </c>
      <c r="L125">
        <f t="shared" si="76"/>
        <v>0</v>
      </c>
      <c r="M125">
        <f t="shared" si="76"/>
        <v>0</v>
      </c>
      <c r="N125">
        <f t="shared" si="76"/>
        <v>0</v>
      </c>
      <c r="O125">
        <f t="shared" si="76"/>
        <v>0</v>
      </c>
      <c r="P125">
        <f t="shared" si="76"/>
        <v>0</v>
      </c>
    </row>
    <row r="126" spans="1:16" x14ac:dyDescent="0.25">
      <c r="A126" t="s">
        <v>65</v>
      </c>
      <c r="B126">
        <f t="shared" si="72"/>
        <v>194</v>
      </c>
      <c r="C126">
        <f t="shared" ref="C126:P126" si="77">C93</f>
        <v>10213138</v>
      </c>
      <c r="D126">
        <f t="shared" si="77"/>
        <v>0</v>
      </c>
      <c r="E126">
        <f t="shared" si="77"/>
        <v>0</v>
      </c>
      <c r="F126">
        <f t="shared" si="77"/>
        <v>0</v>
      </c>
      <c r="G126">
        <f t="shared" si="77"/>
        <v>0</v>
      </c>
      <c r="H126">
        <f t="shared" si="77"/>
        <v>0</v>
      </c>
      <c r="I126">
        <f t="shared" si="77"/>
        <v>0</v>
      </c>
      <c r="J126">
        <f t="shared" si="77"/>
        <v>0</v>
      </c>
      <c r="K126">
        <f t="shared" si="77"/>
        <v>0</v>
      </c>
      <c r="L126">
        <f t="shared" si="77"/>
        <v>0</v>
      </c>
      <c r="M126">
        <f t="shared" si="77"/>
        <v>0</v>
      </c>
      <c r="N126">
        <f t="shared" si="77"/>
        <v>0</v>
      </c>
      <c r="O126">
        <f t="shared" si="77"/>
        <v>0</v>
      </c>
      <c r="P126">
        <f t="shared" si="77"/>
        <v>0</v>
      </c>
    </row>
    <row r="127" spans="1:16" x14ac:dyDescent="0.25">
      <c r="A127" t="s">
        <v>66</v>
      </c>
      <c r="B127">
        <f t="shared" si="72"/>
        <v>14</v>
      </c>
      <c r="C127">
        <f t="shared" ref="C127:P127" si="78">C94</f>
        <v>12118985</v>
      </c>
      <c r="D127">
        <f t="shared" si="78"/>
        <v>0</v>
      </c>
      <c r="E127">
        <f t="shared" si="78"/>
        <v>0</v>
      </c>
      <c r="F127">
        <f t="shared" si="78"/>
        <v>0</v>
      </c>
      <c r="G127">
        <f t="shared" si="78"/>
        <v>0</v>
      </c>
      <c r="H127">
        <f t="shared" si="78"/>
        <v>0</v>
      </c>
      <c r="I127">
        <f t="shared" si="78"/>
        <v>0</v>
      </c>
      <c r="J127">
        <f t="shared" si="78"/>
        <v>0</v>
      </c>
      <c r="K127">
        <f t="shared" si="78"/>
        <v>0</v>
      </c>
      <c r="L127">
        <f t="shared" si="78"/>
        <v>0</v>
      </c>
      <c r="M127">
        <f t="shared" si="78"/>
        <v>0</v>
      </c>
      <c r="N127">
        <f t="shared" si="78"/>
        <v>0</v>
      </c>
      <c r="O127">
        <f t="shared" si="78"/>
        <v>0</v>
      </c>
      <c r="P127">
        <f t="shared" si="78"/>
        <v>0</v>
      </c>
    </row>
    <row r="128" spans="1:16" x14ac:dyDescent="0.25">
      <c r="A128" t="s">
        <v>67</v>
      </c>
      <c r="B128">
        <f t="shared" si="72"/>
        <v>451</v>
      </c>
      <c r="C128">
        <f t="shared" ref="C128:P128" si="79">C95</f>
        <v>15430906</v>
      </c>
      <c r="D128">
        <f t="shared" si="79"/>
        <v>0</v>
      </c>
      <c r="E128">
        <f t="shared" si="79"/>
        <v>0</v>
      </c>
      <c r="F128">
        <f t="shared" si="79"/>
        <v>0</v>
      </c>
      <c r="G128">
        <f t="shared" si="79"/>
        <v>0</v>
      </c>
      <c r="H128">
        <f t="shared" si="79"/>
        <v>0</v>
      </c>
      <c r="I128">
        <f t="shared" si="79"/>
        <v>0</v>
      </c>
      <c r="J128">
        <f t="shared" si="79"/>
        <v>0</v>
      </c>
      <c r="K128">
        <f t="shared" si="79"/>
        <v>0</v>
      </c>
      <c r="L128">
        <f t="shared" si="79"/>
        <v>0</v>
      </c>
      <c r="M128">
        <f t="shared" si="79"/>
        <v>0</v>
      </c>
      <c r="N128">
        <f t="shared" si="79"/>
        <v>0</v>
      </c>
      <c r="O128">
        <f t="shared" si="79"/>
        <v>0</v>
      </c>
      <c r="P128">
        <f t="shared" si="79"/>
        <v>0</v>
      </c>
    </row>
    <row r="129" spans="1:16" x14ac:dyDescent="0.25">
      <c r="A129" t="s">
        <v>68</v>
      </c>
      <c r="B129">
        <f t="shared" si="72"/>
        <v>11</v>
      </c>
      <c r="C129">
        <f t="shared" ref="C129:P129" si="80">C96</f>
        <v>3692023</v>
      </c>
      <c r="D129">
        <f t="shared" si="80"/>
        <v>0</v>
      </c>
      <c r="E129">
        <f t="shared" si="80"/>
        <v>0</v>
      </c>
      <c r="F129">
        <f t="shared" si="80"/>
        <v>0</v>
      </c>
      <c r="G129">
        <f t="shared" si="80"/>
        <v>0</v>
      </c>
      <c r="H129">
        <f t="shared" si="80"/>
        <v>0</v>
      </c>
      <c r="I129">
        <f t="shared" si="80"/>
        <v>0</v>
      </c>
      <c r="J129">
        <f t="shared" si="80"/>
        <v>0</v>
      </c>
      <c r="K129">
        <f t="shared" si="80"/>
        <v>0</v>
      </c>
      <c r="L129">
        <f t="shared" si="80"/>
        <v>0</v>
      </c>
      <c r="M129">
        <f t="shared" si="80"/>
        <v>0</v>
      </c>
      <c r="N129">
        <f t="shared" si="80"/>
        <v>0</v>
      </c>
      <c r="O129">
        <f t="shared" si="80"/>
        <v>0</v>
      </c>
      <c r="P129">
        <f t="shared" si="80"/>
        <v>0</v>
      </c>
    </row>
    <row r="130" spans="1:16" x14ac:dyDescent="0.25">
      <c r="A130" s="44" t="s">
        <v>59</v>
      </c>
    </row>
    <row r="131" spans="1:16" x14ac:dyDescent="0.25">
      <c r="A131" t="s">
        <v>69</v>
      </c>
      <c r="B131">
        <f t="shared" ref="B131:B138" si="81">B97</f>
        <v>30</v>
      </c>
      <c r="C131">
        <f t="shared" ref="C131:P131" si="82">C97</f>
        <v>745255</v>
      </c>
      <c r="D131">
        <f t="shared" si="82"/>
        <v>0</v>
      </c>
      <c r="E131">
        <f t="shared" si="82"/>
        <v>0</v>
      </c>
      <c r="F131">
        <f t="shared" si="82"/>
        <v>0</v>
      </c>
      <c r="G131">
        <f t="shared" si="82"/>
        <v>0</v>
      </c>
      <c r="H131">
        <f t="shared" si="82"/>
        <v>0</v>
      </c>
      <c r="I131">
        <f t="shared" si="82"/>
        <v>0</v>
      </c>
      <c r="J131">
        <f t="shared" si="82"/>
        <v>0</v>
      </c>
      <c r="K131">
        <f t="shared" si="82"/>
        <v>0</v>
      </c>
      <c r="L131">
        <f t="shared" si="82"/>
        <v>0</v>
      </c>
      <c r="M131">
        <f t="shared" si="82"/>
        <v>0</v>
      </c>
      <c r="N131">
        <f t="shared" si="82"/>
        <v>0</v>
      </c>
      <c r="O131">
        <f t="shared" si="82"/>
        <v>0</v>
      </c>
      <c r="P131">
        <f t="shared" si="82"/>
        <v>0</v>
      </c>
    </row>
    <row r="132" spans="1:16" x14ac:dyDescent="0.25">
      <c r="A132" t="s">
        <v>70</v>
      </c>
      <c r="B132">
        <f t="shared" si="81"/>
        <v>45</v>
      </c>
      <c r="C132">
        <f t="shared" ref="C132:P132" si="83">C98</f>
        <v>1633870</v>
      </c>
      <c r="D132">
        <f t="shared" si="83"/>
        <v>0</v>
      </c>
      <c r="E132">
        <f t="shared" si="83"/>
        <v>0</v>
      </c>
      <c r="F132">
        <f t="shared" si="83"/>
        <v>0</v>
      </c>
      <c r="G132">
        <f t="shared" si="83"/>
        <v>0</v>
      </c>
      <c r="H132">
        <f t="shared" si="83"/>
        <v>0</v>
      </c>
      <c r="I132">
        <f t="shared" si="83"/>
        <v>0</v>
      </c>
      <c r="J132">
        <f t="shared" si="83"/>
        <v>0</v>
      </c>
      <c r="K132">
        <f t="shared" si="83"/>
        <v>0</v>
      </c>
      <c r="L132">
        <f t="shared" si="83"/>
        <v>0</v>
      </c>
      <c r="M132">
        <f t="shared" si="83"/>
        <v>0</v>
      </c>
      <c r="N132">
        <f t="shared" si="83"/>
        <v>0</v>
      </c>
      <c r="O132">
        <f t="shared" si="83"/>
        <v>0</v>
      </c>
      <c r="P132">
        <f t="shared" si="83"/>
        <v>0</v>
      </c>
    </row>
    <row r="133" spans="1:16" x14ac:dyDescent="0.25">
      <c r="A133" t="s">
        <v>71</v>
      </c>
      <c r="B133">
        <f t="shared" si="81"/>
        <v>75</v>
      </c>
      <c r="C133">
        <f t="shared" ref="C133:P133" si="84">C99</f>
        <v>2937230</v>
      </c>
      <c r="D133">
        <f t="shared" si="84"/>
        <v>0</v>
      </c>
      <c r="E133">
        <f t="shared" si="84"/>
        <v>0</v>
      </c>
      <c r="F133">
        <f t="shared" si="84"/>
        <v>0</v>
      </c>
      <c r="G133">
        <f t="shared" si="84"/>
        <v>0</v>
      </c>
      <c r="H133">
        <f t="shared" si="84"/>
        <v>0</v>
      </c>
      <c r="I133">
        <f t="shared" si="84"/>
        <v>0</v>
      </c>
      <c r="J133">
        <f t="shared" si="84"/>
        <v>0</v>
      </c>
      <c r="K133">
        <f t="shared" si="84"/>
        <v>0</v>
      </c>
      <c r="L133">
        <f t="shared" si="84"/>
        <v>0</v>
      </c>
      <c r="M133">
        <f t="shared" si="84"/>
        <v>0</v>
      </c>
      <c r="N133">
        <f t="shared" si="84"/>
        <v>0</v>
      </c>
      <c r="O133">
        <f t="shared" si="84"/>
        <v>0</v>
      </c>
      <c r="P133">
        <f t="shared" si="84"/>
        <v>0</v>
      </c>
    </row>
    <row r="134" spans="1:16" x14ac:dyDescent="0.25">
      <c r="A134" t="s">
        <v>151</v>
      </c>
      <c r="B134">
        <f t="shared" si="81"/>
        <v>0</v>
      </c>
      <c r="C134">
        <f t="shared" ref="C134:P134" si="85">C100</f>
        <v>1984555</v>
      </c>
      <c r="D134">
        <f t="shared" si="85"/>
        <v>0</v>
      </c>
      <c r="E134">
        <f t="shared" si="85"/>
        <v>0</v>
      </c>
      <c r="F134">
        <f t="shared" si="85"/>
        <v>0</v>
      </c>
      <c r="G134">
        <f t="shared" si="85"/>
        <v>0</v>
      </c>
      <c r="H134">
        <f t="shared" si="85"/>
        <v>0</v>
      </c>
      <c r="I134">
        <f t="shared" si="85"/>
        <v>0</v>
      </c>
      <c r="J134">
        <f t="shared" si="85"/>
        <v>0</v>
      </c>
      <c r="K134">
        <f t="shared" si="85"/>
        <v>0</v>
      </c>
      <c r="L134">
        <f t="shared" si="85"/>
        <v>0</v>
      </c>
      <c r="M134">
        <f t="shared" si="85"/>
        <v>0</v>
      </c>
      <c r="N134">
        <f t="shared" si="85"/>
        <v>0</v>
      </c>
      <c r="O134">
        <f t="shared" si="85"/>
        <v>0</v>
      </c>
      <c r="P134">
        <f t="shared" si="85"/>
        <v>0</v>
      </c>
    </row>
    <row r="135" spans="1:16" x14ac:dyDescent="0.25">
      <c r="A135" t="s">
        <v>72</v>
      </c>
      <c r="B135">
        <f t="shared" si="81"/>
        <v>4</v>
      </c>
      <c r="C135">
        <f t="shared" ref="C135:P135" si="86">C101</f>
        <v>2850540</v>
      </c>
      <c r="D135">
        <f t="shared" si="86"/>
        <v>0</v>
      </c>
      <c r="E135">
        <f t="shared" si="86"/>
        <v>0</v>
      </c>
      <c r="F135">
        <f t="shared" si="86"/>
        <v>0</v>
      </c>
      <c r="G135">
        <f t="shared" si="86"/>
        <v>0</v>
      </c>
      <c r="H135">
        <f t="shared" si="86"/>
        <v>0</v>
      </c>
      <c r="I135">
        <f t="shared" si="86"/>
        <v>0</v>
      </c>
      <c r="J135">
        <f t="shared" si="86"/>
        <v>0</v>
      </c>
      <c r="K135">
        <f t="shared" si="86"/>
        <v>0</v>
      </c>
      <c r="L135">
        <f t="shared" si="86"/>
        <v>0</v>
      </c>
      <c r="M135">
        <f t="shared" si="86"/>
        <v>0</v>
      </c>
      <c r="N135">
        <f t="shared" si="86"/>
        <v>0</v>
      </c>
      <c r="O135">
        <f t="shared" si="86"/>
        <v>0</v>
      </c>
      <c r="P135">
        <f t="shared" si="86"/>
        <v>0</v>
      </c>
    </row>
    <row r="136" spans="1:16" x14ac:dyDescent="0.25">
      <c r="A136" t="s">
        <v>73</v>
      </c>
      <c r="B136">
        <f t="shared" si="81"/>
        <v>30</v>
      </c>
      <c r="C136">
        <f t="shared" ref="C136:P136" si="87">C102</f>
        <v>2159905</v>
      </c>
      <c r="D136">
        <f t="shared" si="87"/>
        <v>0</v>
      </c>
      <c r="E136">
        <f t="shared" si="87"/>
        <v>0</v>
      </c>
      <c r="F136">
        <f t="shared" si="87"/>
        <v>0</v>
      </c>
      <c r="G136">
        <f t="shared" si="87"/>
        <v>0</v>
      </c>
      <c r="H136">
        <f t="shared" si="87"/>
        <v>0</v>
      </c>
      <c r="I136">
        <f t="shared" si="87"/>
        <v>0</v>
      </c>
      <c r="J136">
        <f t="shared" si="87"/>
        <v>0</v>
      </c>
      <c r="K136">
        <f t="shared" si="87"/>
        <v>0</v>
      </c>
      <c r="L136">
        <f t="shared" si="87"/>
        <v>0</v>
      </c>
      <c r="M136">
        <f t="shared" si="87"/>
        <v>0</v>
      </c>
      <c r="N136">
        <f t="shared" si="87"/>
        <v>0</v>
      </c>
      <c r="O136">
        <f t="shared" si="87"/>
        <v>0</v>
      </c>
      <c r="P136">
        <f t="shared" si="87"/>
        <v>0</v>
      </c>
    </row>
    <row r="137" spans="1:16" x14ac:dyDescent="0.25">
      <c r="A137" t="s">
        <v>74</v>
      </c>
      <c r="B137">
        <f t="shared" si="81"/>
        <v>0</v>
      </c>
      <c r="C137">
        <f t="shared" ref="C137:P137" si="88">C103</f>
        <v>1897500</v>
      </c>
      <c r="D137">
        <f t="shared" si="88"/>
        <v>0</v>
      </c>
      <c r="E137">
        <f t="shared" si="88"/>
        <v>0</v>
      </c>
      <c r="F137">
        <f t="shared" si="88"/>
        <v>0</v>
      </c>
      <c r="G137">
        <f t="shared" si="88"/>
        <v>0</v>
      </c>
      <c r="H137">
        <f t="shared" si="88"/>
        <v>0</v>
      </c>
      <c r="I137">
        <f t="shared" si="88"/>
        <v>0</v>
      </c>
      <c r="J137">
        <f t="shared" si="88"/>
        <v>0</v>
      </c>
      <c r="K137">
        <f t="shared" si="88"/>
        <v>0</v>
      </c>
      <c r="L137">
        <f t="shared" si="88"/>
        <v>0</v>
      </c>
      <c r="M137">
        <f t="shared" si="88"/>
        <v>0</v>
      </c>
      <c r="N137">
        <f t="shared" si="88"/>
        <v>0</v>
      </c>
      <c r="O137">
        <f t="shared" si="88"/>
        <v>0</v>
      </c>
      <c r="P137">
        <f t="shared" si="88"/>
        <v>0</v>
      </c>
    </row>
    <row r="138" spans="1:16" x14ac:dyDescent="0.25">
      <c r="A138" t="s">
        <v>152</v>
      </c>
      <c r="B138">
        <f t="shared" si="81"/>
        <v>0</v>
      </c>
      <c r="C138">
        <f t="shared" ref="C138:P138" si="89">C104</f>
        <v>642430</v>
      </c>
      <c r="D138">
        <f t="shared" si="89"/>
        <v>0</v>
      </c>
      <c r="E138">
        <f t="shared" si="89"/>
        <v>0</v>
      </c>
      <c r="F138">
        <f t="shared" si="89"/>
        <v>0</v>
      </c>
      <c r="G138">
        <f t="shared" si="89"/>
        <v>0</v>
      </c>
      <c r="H138">
        <f t="shared" si="89"/>
        <v>0</v>
      </c>
      <c r="I138">
        <f t="shared" si="89"/>
        <v>0</v>
      </c>
      <c r="J138">
        <f t="shared" si="89"/>
        <v>0</v>
      </c>
      <c r="K138">
        <f t="shared" si="89"/>
        <v>0</v>
      </c>
      <c r="L138">
        <f t="shared" si="89"/>
        <v>0</v>
      </c>
      <c r="M138">
        <f t="shared" si="89"/>
        <v>0</v>
      </c>
      <c r="N138">
        <f t="shared" si="89"/>
        <v>0</v>
      </c>
      <c r="O138">
        <f t="shared" si="89"/>
        <v>0</v>
      </c>
      <c r="P138">
        <f t="shared" si="89"/>
        <v>0</v>
      </c>
    </row>
    <row r="139" spans="1:16" x14ac:dyDescent="0.25">
      <c r="A139" s="95" t="s">
        <v>237</v>
      </c>
      <c r="B139" s="47">
        <f>B40+B18+B19-B105</f>
        <v>435</v>
      </c>
      <c r="C139" s="47">
        <f t="shared" ref="C139:P139" si="90">C40+C18+C19-C105</f>
        <v>69889526</v>
      </c>
      <c r="D139" s="47">
        <f t="shared" si="90"/>
        <v>0</v>
      </c>
      <c r="E139" s="47">
        <f t="shared" si="90"/>
        <v>0</v>
      </c>
      <c r="F139" s="47">
        <f t="shared" si="90"/>
        <v>0</v>
      </c>
      <c r="G139" s="47">
        <f t="shared" si="90"/>
        <v>0</v>
      </c>
      <c r="H139" s="47">
        <f t="shared" si="90"/>
        <v>0</v>
      </c>
      <c r="I139" s="47">
        <f t="shared" si="90"/>
        <v>0</v>
      </c>
      <c r="J139" s="47">
        <f t="shared" si="90"/>
        <v>0</v>
      </c>
      <c r="K139" s="47">
        <f t="shared" si="90"/>
        <v>0</v>
      </c>
      <c r="L139" s="47">
        <f t="shared" si="90"/>
        <v>0</v>
      </c>
      <c r="M139" s="47">
        <f t="shared" si="90"/>
        <v>0</v>
      </c>
      <c r="N139" s="47">
        <f t="shared" si="90"/>
        <v>0</v>
      </c>
      <c r="O139" s="47">
        <f t="shared" si="90"/>
        <v>0</v>
      </c>
      <c r="P139" s="47">
        <f t="shared" si="90"/>
        <v>0</v>
      </c>
    </row>
    <row r="140" spans="1:16" x14ac:dyDescent="0.25">
      <c r="A140" s="95" t="s">
        <v>238</v>
      </c>
      <c r="B140" s="47">
        <f>B40+B18+B19-B106</f>
        <v>251</v>
      </c>
      <c r="C140" s="47">
        <f t="shared" ref="C140:P140" si="91">C40+C18+C19-C106</f>
        <v>59955321</v>
      </c>
      <c r="D140" s="47">
        <f t="shared" si="91"/>
        <v>0</v>
      </c>
      <c r="E140" s="47">
        <f t="shared" si="91"/>
        <v>0</v>
      </c>
      <c r="F140" s="47">
        <f t="shared" si="91"/>
        <v>0</v>
      </c>
      <c r="G140" s="47">
        <f t="shared" si="91"/>
        <v>0</v>
      </c>
      <c r="H140" s="47">
        <f t="shared" si="91"/>
        <v>0</v>
      </c>
      <c r="I140" s="47">
        <f t="shared" si="91"/>
        <v>0</v>
      </c>
      <c r="J140" s="47">
        <f t="shared" si="91"/>
        <v>0</v>
      </c>
      <c r="K140" s="47">
        <f t="shared" si="91"/>
        <v>0</v>
      </c>
      <c r="L140" s="47">
        <f t="shared" si="91"/>
        <v>0</v>
      </c>
      <c r="M140" s="47">
        <f t="shared" si="91"/>
        <v>0</v>
      </c>
      <c r="N140" s="47">
        <f t="shared" si="91"/>
        <v>0</v>
      </c>
      <c r="O140" s="47">
        <f t="shared" si="91"/>
        <v>0</v>
      </c>
      <c r="P140" s="47">
        <f t="shared" si="91"/>
        <v>0</v>
      </c>
    </row>
    <row r="141" spans="1:16" x14ac:dyDescent="0.25">
      <c r="A141" s="95" t="s">
        <v>239</v>
      </c>
      <c r="B141" s="47">
        <f>B40+B18+B19-B107</f>
        <v>216</v>
      </c>
      <c r="C141" s="47">
        <f t="shared" ref="C141:P141" si="92">C40+C18+C19-C107</f>
        <v>51811371</v>
      </c>
      <c r="D141" s="47">
        <f t="shared" si="92"/>
        <v>0</v>
      </c>
      <c r="E141" s="47">
        <f t="shared" si="92"/>
        <v>0</v>
      </c>
      <c r="F141" s="47">
        <f t="shared" si="92"/>
        <v>0</v>
      </c>
      <c r="G141" s="47">
        <f t="shared" si="92"/>
        <v>0</v>
      </c>
      <c r="H141" s="47">
        <f t="shared" si="92"/>
        <v>0</v>
      </c>
      <c r="I141" s="47">
        <f t="shared" si="92"/>
        <v>0</v>
      </c>
      <c r="J141" s="47">
        <f t="shared" si="92"/>
        <v>0</v>
      </c>
      <c r="K141" s="47">
        <f t="shared" si="92"/>
        <v>0</v>
      </c>
      <c r="L141" s="47">
        <f t="shared" si="92"/>
        <v>0</v>
      </c>
      <c r="M141" s="47">
        <f t="shared" si="92"/>
        <v>0</v>
      </c>
      <c r="N141" s="47">
        <f t="shared" si="92"/>
        <v>0</v>
      </c>
      <c r="O141" s="47">
        <f t="shared" si="92"/>
        <v>0</v>
      </c>
      <c r="P141" s="47">
        <f t="shared" si="92"/>
        <v>0</v>
      </c>
    </row>
    <row r="142" spans="1:16" x14ac:dyDescent="0.25">
      <c r="A142" s="44" t="s">
        <v>75</v>
      </c>
    </row>
    <row r="143" spans="1:16" x14ac:dyDescent="0.25">
      <c r="A143" t="s">
        <v>69</v>
      </c>
      <c r="B143">
        <f t="shared" ref="B143:B150" si="93">B108</f>
        <v>50</v>
      </c>
      <c r="C143">
        <f t="shared" ref="C143:P143" si="94">C108</f>
        <v>1015395</v>
      </c>
      <c r="D143">
        <f t="shared" si="94"/>
        <v>0</v>
      </c>
      <c r="E143">
        <f t="shared" si="94"/>
        <v>0</v>
      </c>
      <c r="F143">
        <f t="shared" si="94"/>
        <v>0</v>
      </c>
      <c r="G143">
        <f t="shared" si="94"/>
        <v>0</v>
      </c>
      <c r="H143">
        <f t="shared" si="94"/>
        <v>0</v>
      </c>
      <c r="I143">
        <f t="shared" si="94"/>
        <v>0</v>
      </c>
      <c r="J143">
        <f t="shared" si="94"/>
        <v>0</v>
      </c>
      <c r="K143">
        <f t="shared" si="94"/>
        <v>0</v>
      </c>
      <c r="L143">
        <f t="shared" si="94"/>
        <v>0</v>
      </c>
      <c r="M143">
        <f t="shared" si="94"/>
        <v>0</v>
      </c>
      <c r="N143">
        <f t="shared" si="94"/>
        <v>0</v>
      </c>
      <c r="O143">
        <f t="shared" si="94"/>
        <v>0</v>
      </c>
      <c r="P143">
        <f t="shared" si="94"/>
        <v>0</v>
      </c>
    </row>
    <row r="144" spans="1:16" x14ac:dyDescent="0.25">
      <c r="A144" t="s">
        <v>70</v>
      </c>
      <c r="B144">
        <f t="shared" si="93"/>
        <v>165</v>
      </c>
      <c r="C144">
        <f t="shared" ref="C144:P144" si="95">C109</f>
        <v>2776530</v>
      </c>
      <c r="D144">
        <f t="shared" si="95"/>
        <v>0</v>
      </c>
      <c r="E144">
        <f t="shared" si="95"/>
        <v>0</v>
      </c>
      <c r="F144">
        <f t="shared" si="95"/>
        <v>0</v>
      </c>
      <c r="G144">
        <f t="shared" si="95"/>
        <v>0</v>
      </c>
      <c r="H144">
        <f t="shared" si="95"/>
        <v>0</v>
      </c>
      <c r="I144">
        <f t="shared" si="95"/>
        <v>0</v>
      </c>
      <c r="J144">
        <f t="shared" si="95"/>
        <v>0</v>
      </c>
      <c r="K144">
        <f t="shared" si="95"/>
        <v>0</v>
      </c>
      <c r="L144">
        <f t="shared" si="95"/>
        <v>0</v>
      </c>
      <c r="M144">
        <f t="shared" si="95"/>
        <v>0</v>
      </c>
      <c r="N144">
        <f t="shared" si="95"/>
        <v>0</v>
      </c>
      <c r="O144">
        <f t="shared" si="95"/>
        <v>0</v>
      </c>
      <c r="P144">
        <f t="shared" si="95"/>
        <v>0</v>
      </c>
    </row>
    <row r="145" spans="1:16" x14ac:dyDescent="0.25">
      <c r="A145" t="s">
        <v>71</v>
      </c>
      <c r="B145">
        <f t="shared" si="93"/>
        <v>70</v>
      </c>
      <c r="C145">
        <f t="shared" ref="C145:P145" si="96">C110</f>
        <v>3005340</v>
      </c>
      <c r="D145">
        <f t="shared" si="96"/>
        <v>0</v>
      </c>
      <c r="E145">
        <f t="shared" si="96"/>
        <v>0</v>
      </c>
      <c r="F145">
        <f t="shared" si="96"/>
        <v>0</v>
      </c>
      <c r="G145">
        <f t="shared" si="96"/>
        <v>0</v>
      </c>
      <c r="H145">
        <f t="shared" si="96"/>
        <v>0</v>
      </c>
      <c r="I145">
        <f t="shared" si="96"/>
        <v>0</v>
      </c>
      <c r="J145">
        <f t="shared" si="96"/>
        <v>0</v>
      </c>
      <c r="K145">
        <f t="shared" si="96"/>
        <v>0</v>
      </c>
      <c r="L145">
        <f t="shared" si="96"/>
        <v>0</v>
      </c>
      <c r="M145">
        <f t="shared" si="96"/>
        <v>0</v>
      </c>
      <c r="N145">
        <f t="shared" si="96"/>
        <v>0</v>
      </c>
      <c r="O145">
        <f t="shared" si="96"/>
        <v>0</v>
      </c>
      <c r="P145">
        <f t="shared" si="96"/>
        <v>0</v>
      </c>
    </row>
    <row r="146" spans="1:16" x14ac:dyDescent="0.25">
      <c r="A146" t="s">
        <v>151</v>
      </c>
      <c r="B146">
        <f t="shared" si="93"/>
        <v>0</v>
      </c>
      <c r="C146">
        <f t="shared" ref="C146:P146" si="97">C111</f>
        <v>720130</v>
      </c>
      <c r="D146">
        <f t="shared" si="97"/>
        <v>0</v>
      </c>
      <c r="E146">
        <f t="shared" si="97"/>
        <v>0</v>
      </c>
      <c r="F146">
        <f t="shared" si="97"/>
        <v>0</v>
      </c>
      <c r="G146">
        <f t="shared" si="97"/>
        <v>0</v>
      </c>
      <c r="H146">
        <f t="shared" si="97"/>
        <v>0</v>
      </c>
      <c r="I146">
        <f t="shared" si="97"/>
        <v>0</v>
      </c>
      <c r="J146">
        <f t="shared" si="97"/>
        <v>0</v>
      </c>
      <c r="K146">
        <f t="shared" si="97"/>
        <v>0</v>
      </c>
      <c r="L146">
        <f t="shared" si="97"/>
        <v>0</v>
      </c>
      <c r="M146">
        <f t="shared" si="97"/>
        <v>0</v>
      </c>
      <c r="N146">
        <f t="shared" si="97"/>
        <v>0</v>
      </c>
      <c r="O146">
        <f t="shared" si="97"/>
        <v>0</v>
      </c>
      <c r="P146">
        <f t="shared" si="97"/>
        <v>0</v>
      </c>
    </row>
    <row r="147" spans="1:16" x14ac:dyDescent="0.25">
      <c r="A147" t="s">
        <v>72</v>
      </c>
      <c r="B147">
        <f t="shared" si="93"/>
        <v>80</v>
      </c>
      <c r="C147">
        <f t="shared" ref="C147:P147" si="98">C112</f>
        <v>5812325</v>
      </c>
      <c r="D147">
        <f t="shared" si="98"/>
        <v>0</v>
      </c>
      <c r="E147">
        <f t="shared" si="98"/>
        <v>0</v>
      </c>
      <c r="F147">
        <f t="shared" si="98"/>
        <v>0</v>
      </c>
      <c r="G147">
        <f t="shared" si="98"/>
        <v>0</v>
      </c>
      <c r="H147">
        <f t="shared" si="98"/>
        <v>0</v>
      </c>
      <c r="I147">
        <f t="shared" si="98"/>
        <v>0</v>
      </c>
      <c r="J147">
        <f t="shared" si="98"/>
        <v>0</v>
      </c>
      <c r="K147">
        <f t="shared" si="98"/>
        <v>0</v>
      </c>
      <c r="L147">
        <f t="shared" si="98"/>
        <v>0</v>
      </c>
      <c r="M147">
        <f t="shared" si="98"/>
        <v>0</v>
      </c>
      <c r="N147">
        <f t="shared" si="98"/>
        <v>0</v>
      </c>
      <c r="O147">
        <f t="shared" si="98"/>
        <v>0</v>
      </c>
      <c r="P147">
        <f t="shared" si="98"/>
        <v>0</v>
      </c>
    </row>
    <row r="148" spans="1:16" x14ac:dyDescent="0.25">
      <c r="A148" t="s">
        <v>73</v>
      </c>
      <c r="B148">
        <f t="shared" si="93"/>
        <v>10</v>
      </c>
      <c r="C148">
        <f t="shared" ref="C148:P148" si="99">C113</f>
        <v>2253430</v>
      </c>
      <c r="D148">
        <f t="shared" si="99"/>
        <v>0</v>
      </c>
      <c r="E148">
        <f t="shared" si="99"/>
        <v>0</v>
      </c>
      <c r="F148">
        <f t="shared" si="99"/>
        <v>0</v>
      </c>
      <c r="G148">
        <f t="shared" si="99"/>
        <v>0</v>
      </c>
      <c r="H148">
        <f t="shared" si="99"/>
        <v>0</v>
      </c>
      <c r="I148">
        <f t="shared" si="99"/>
        <v>0</v>
      </c>
      <c r="J148">
        <f t="shared" si="99"/>
        <v>0</v>
      </c>
      <c r="K148">
        <f t="shared" si="99"/>
        <v>0</v>
      </c>
      <c r="L148">
        <f t="shared" si="99"/>
        <v>0</v>
      </c>
      <c r="M148">
        <f t="shared" si="99"/>
        <v>0</v>
      </c>
      <c r="N148">
        <f t="shared" si="99"/>
        <v>0</v>
      </c>
      <c r="O148">
        <f t="shared" si="99"/>
        <v>0</v>
      </c>
      <c r="P148">
        <f t="shared" si="99"/>
        <v>0</v>
      </c>
    </row>
    <row r="149" spans="1:16" x14ac:dyDescent="0.25">
      <c r="A149" t="s">
        <v>74</v>
      </c>
      <c r="B149">
        <f t="shared" si="93"/>
        <v>30</v>
      </c>
      <c r="C149">
        <f t="shared" ref="C149:P149" si="100">C114</f>
        <v>558755</v>
      </c>
      <c r="D149">
        <f t="shared" si="100"/>
        <v>0</v>
      </c>
      <c r="E149">
        <f t="shared" si="100"/>
        <v>0</v>
      </c>
      <c r="F149">
        <f t="shared" si="100"/>
        <v>0</v>
      </c>
      <c r="G149">
        <f t="shared" si="100"/>
        <v>0</v>
      </c>
      <c r="H149">
        <f t="shared" si="100"/>
        <v>0</v>
      </c>
      <c r="I149">
        <f t="shared" si="100"/>
        <v>0</v>
      </c>
      <c r="J149">
        <f t="shared" si="100"/>
        <v>0</v>
      </c>
      <c r="K149">
        <f t="shared" si="100"/>
        <v>0</v>
      </c>
      <c r="L149">
        <f t="shared" si="100"/>
        <v>0</v>
      </c>
      <c r="M149">
        <f t="shared" si="100"/>
        <v>0</v>
      </c>
      <c r="N149">
        <f t="shared" si="100"/>
        <v>0</v>
      </c>
      <c r="O149">
        <f t="shared" si="100"/>
        <v>0</v>
      </c>
      <c r="P149">
        <f t="shared" si="100"/>
        <v>0</v>
      </c>
    </row>
    <row r="150" spans="1:16" x14ac:dyDescent="0.25">
      <c r="A150" t="s">
        <v>152</v>
      </c>
      <c r="B150">
        <f t="shared" si="93"/>
        <v>0</v>
      </c>
      <c r="C150">
        <f t="shared" ref="C150:P150" si="101">C115</f>
        <v>69515</v>
      </c>
      <c r="D150">
        <f t="shared" si="101"/>
        <v>0</v>
      </c>
      <c r="E150">
        <f t="shared" si="101"/>
        <v>0</v>
      </c>
      <c r="F150">
        <f t="shared" si="101"/>
        <v>0</v>
      </c>
      <c r="G150">
        <f t="shared" si="101"/>
        <v>0</v>
      </c>
      <c r="H150">
        <f t="shared" si="101"/>
        <v>0</v>
      </c>
      <c r="I150">
        <f t="shared" si="101"/>
        <v>0</v>
      </c>
      <c r="J150">
        <f t="shared" si="101"/>
        <v>0</v>
      </c>
      <c r="K150">
        <f t="shared" si="101"/>
        <v>0</v>
      </c>
      <c r="L150">
        <f t="shared" si="101"/>
        <v>0</v>
      </c>
      <c r="M150">
        <f t="shared" si="101"/>
        <v>0</v>
      </c>
      <c r="N150">
        <f t="shared" si="101"/>
        <v>0</v>
      </c>
      <c r="O150">
        <f t="shared" si="101"/>
        <v>0</v>
      </c>
      <c r="P150">
        <f t="shared" si="101"/>
        <v>0</v>
      </c>
    </row>
    <row r="151" spans="1:16" x14ac:dyDescent="0.25">
      <c r="A151" s="95" t="s">
        <v>240</v>
      </c>
      <c r="B151" s="47">
        <f>B41+B21+B22-B116</f>
        <v>841</v>
      </c>
      <c r="C151" s="47">
        <f t="shared" ref="C151:P151" si="102">C41+C21+C22-C116</f>
        <v>36736811</v>
      </c>
      <c r="D151" s="47">
        <f t="shared" si="102"/>
        <v>0</v>
      </c>
      <c r="E151" s="47">
        <f t="shared" si="102"/>
        <v>0</v>
      </c>
      <c r="F151" s="47">
        <f t="shared" si="102"/>
        <v>0</v>
      </c>
      <c r="G151" s="47">
        <f t="shared" si="102"/>
        <v>0</v>
      </c>
      <c r="H151" s="47">
        <f t="shared" si="102"/>
        <v>0</v>
      </c>
      <c r="I151" s="47">
        <f t="shared" si="102"/>
        <v>0</v>
      </c>
      <c r="J151" s="47">
        <f t="shared" si="102"/>
        <v>0</v>
      </c>
      <c r="K151" s="47">
        <f t="shared" si="102"/>
        <v>0</v>
      </c>
      <c r="L151" s="47">
        <f t="shared" si="102"/>
        <v>0</v>
      </c>
      <c r="M151" s="47">
        <f t="shared" si="102"/>
        <v>0</v>
      </c>
      <c r="N151" s="47">
        <f t="shared" si="102"/>
        <v>0</v>
      </c>
      <c r="O151" s="47">
        <f t="shared" si="102"/>
        <v>0</v>
      </c>
      <c r="P151" s="47">
        <f t="shared" si="102"/>
        <v>0</v>
      </c>
    </row>
    <row r="152" spans="1:16" x14ac:dyDescent="0.25">
      <c r="A152" s="95" t="s">
        <v>237</v>
      </c>
      <c r="B152" s="47">
        <f>B41+B21+B22-B117</f>
        <v>567</v>
      </c>
      <c r="C152" s="47">
        <f t="shared" ref="C152:P152" si="103">C41+C21+C22-C117</f>
        <v>30083646</v>
      </c>
      <c r="D152" s="47">
        <f t="shared" si="103"/>
        <v>0</v>
      </c>
      <c r="E152" s="47">
        <f t="shared" si="103"/>
        <v>0</v>
      </c>
      <c r="F152" s="47">
        <f t="shared" si="103"/>
        <v>0</v>
      </c>
      <c r="G152" s="47">
        <f t="shared" si="103"/>
        <v>0</v>
      </c>
      <c r="H152" s="47">
        <f t="shared" si="103"/>
        <v>0</v>
      </c>
      <c r="I152" s="47">
        <f t="shared" si="103"/>
        <v>0</v>
      </c>
      <c r="J152" s="47">
        <f t="shared" si="103"/>
        <v>0</v>
      </c>
      <c r="K152" s="47">
        <f t="shared" si="103"/>
        <v>0</v>
      </c>
      <c r="L152" s="47">
        <f t="shared" si="103"/>
        <v>0</v>
      </c>
      <c r="M152" s="47">
        <f t="shared" si="103"/>
        <v>0</v>
      </c>
      <c r="N152" s="47">
        <f t="shared" si="103"/>
        <v>0</v>
      </c>
      <c r="O152" s="47">
        <f t="shared" si="103"/>
        <v>0</v>
      </c>
      <c r="P152" s="47">
        <f t="shared" si="103"/>
        <v>0</v>
      </c>
    </row>
    <row r="153" spans="1:16" x14ac:dyDescent="0.25">
      <c r="A153" s="95" t="s">
        <v>238</v>
      </c>
      <c r="B153" s="47">
        <f>B41+B21+B22-B118</f>
        <v>197</v>
      </c>
      <c r="C153" s="47">
        <f t="shared" ref="C153:P153" si="104">C41+C21+C22-C118</f>
        <v>15580691</v>
      </c>
      <c r="D153" s="47">
        <f t="shared" si="104"/>
        <v>0</v>
      </c>
      <c r="E153" s="47">
        <f t="shared" si="104"/>
        <v>0</v>
      </c>
      <c r="F153" s="47">
        <f t="shared" si="104"/>
        <v>0</v>
      </c>
      <c r="G153" s="47">
        <f t="shared" si="104"/>
        <v>0</v>
      </c>
      <c r="H153" s="47">
        <f t="shared" si="104"/>
        <v>0</v>
      </c>
      <c r="I153" s="47">
        <f t="shared" si="104"/>
        <v>0</v>
      </c>
      <c r="J153" s="47">
        <f t="shared" si="104"/>
        <v>0</v>
      </c>
      <c r="K153" s="47">
        <f t="shared" si="104"/>
        <v>0</v>
      </c>
      <c r="L153" s="47">
        <f t="shared" si="104"/>
        <v>0</v>
      </c>
      <c r="M153" s="47">
        <f t="shared" si="104"/>
        <v>0</v>
      </c>
      <c r="N153" s="47">
        <f t="shared" si="104"/>
        <v>0</v>
      </c>
      <c r="O153" s="47">
        <f t="shared" si="104"/>
        <v>0</v>
      </c>
      <c r="P153" s="47">
        <f t="shared" si="104"/>
        <v>0</v>
      </c>
    </row>
    <row r="155" spans="1:16" x14ac:dyDescent="0.25">
      <c r="A155" s="44" t="s">
        <v>5</v>
      </c>
    </row>
    <row r="156" spans="1:16" x14ac:dyDescent="0.25">
      <c r="A156" s="3" t="s">
        <v>153</v>
      </c>
      <c r="B156" s="186">
        <v>32</v>
      </c>
      <c r="C156">
        <v>8692497</v>
      </c>
    </row>
    <row r="157" spans="1:16" x14ac:dyDescent="0.25">
      <c r="A157" s="3" t="s">
        <v>154</v>
      </c>
      <c r="B157" s="189">
        <v>376</v>
      </c>
      <c r="C157">
        <v>13129761</v>
      </c>
    </row>
    <row r="158" spans="1:16" x14ac:dyDescent="0.25">
      <c r="A158" s="3" t="s">
        <v>155</v>
      </c>
      <c r="B158" s="187">
        <v>10</v>
      </c>
      <c r="C158">
        <v>130425</v>
      </c>
    </row>
    <row r="159" spans="1:16" x14ac:dyDescent="0.25">
      <c r="A159" s="3" t="s">
        <v>156</v>
      </c>
      <c r="B159" s="187">
        <v>0</v>
      </c>
      <c r="C159">
        <v>99295</v>
      </c>
    </row>
    <row r="160" spans="1:16" x14ac:dyDescent="0.25">
      <c r="A160" s="3" t="s">
        <v>157</v>
      </c>
      <c r="B160" s="187">
        <v>0</v>
      </c>
      <c r="C160">
        <v>116705</v>
      </c>
    </row>
    <row r="161" spans="1:16" x14ac:dyDescent="0.25">
      <c r="A161" s="3" t="s">
        <v>158</v>
      </c>
      <c r="B161" s="187">
        <v>0</v>
      </c>
      <c r="C161">
        <v>58550</v>
      </c>
    </row>
    <row r="162" spans="1:16" x14ac:dyDescent="0.25">
      <c r="A162" s="3" t="s">
        <v>159</v>
      </c>
      <c r="B162" s="189">
        <v>625</v>
      </c>
      <c r="C162">
        <v>8553443</v>
      </c>
    </row>
    <row r="163" spans="1:16" x14ac:dyDescent="0.25">
      <c r="A163" s="3" t="s">
        <v>160</v>
      </c>
      <c r="B163" s="187">
        <v>0</v>
      </c>
      <c r="C163">
        <v>317390</v>
      </c>
    </row>
    <row r="164" spans="1:16" x14ac:dyDescent="0.25">
      <c r="A164" s="3" t="s">
        <v>161</v>
      </c>
      <c r="B164" s="187">
        <v>0</v>
      </c>
      <c r="C164">
        <v>187905</v>
      </c>
    </row>
    <row r="165" spans="1:16" x14ac:dyDescent="0.25">
      <c r="A165" s="3" t="s">
        <v>162</v>
      </c>
      <c r="B165" s="187">
        <v>0</v>
      </c>
      <c r="C165">
        <v>173845</v>
      </c>
    </row>
    <row r="166" spans="1:16" x14ac:dyDescent="0.25">
      <c r="A166" s="3" t="s">
        <v>163</v>
      </c>
      <c r="B166" s="187">
        <v>10</v>
      </c>
      <c r="C166">
        <v>69020</v>
      </c>
    </row>
    <row r="168" spans="1:16" x14ac:dyDescent="0.25">
      <c r="A168" s="1" t="s">
        <v>23</v>
      </c>
      <c r="B168" t="str">
        <f>B6</f>
        <v>For Tract 30111000300</v>
      </c>
      <c r="C168" t="str">
        <f t="shared" ref="C168:P168" si="105">C6</f>
        <v>Nation</v>
      </c>
      <c r="D168">
        <f t="shared" si="105"/>
        <v>0</v>
      </c>
      <c r="E168">
        <f t="shared" si="105"/>
        <v>0</v>
      </c>
      <c r="F168">
        <f t="shared" si="105"/>
        <v>0</v>
      </c>
      <c r="G168">
        <f t="shared" si="105"/>
        <v>0</v>
      </c>
      <c r="H168">
        <f t="shared" si="105"/>
        <v>0</v>
      </c>
      <c r="I168">
        <f t="shared" si="105"/>
        <v>0</v>
      </c>
      <c r="J168">
        <f t="shared" si="105"/>
        <v>0</v>
      </c>
      <c r="K168">
        <f t="shared" si="105"/>
        <v>0</v>
      </c>
      <c r="L168">
        <f t="shared" si="105"/>
        <v>0</v>
      </c>
      <c r="M168">
        <f t="shared" si="105"/>
        <v>0</v>
      </c>
      <c r="N168">
        <f t="shared" si="105"/>
        <v>0</v>
      </c>
      <c r="O168">
        <f t="shared" si="105"/>
        <v>0</v>
      </c>
      <c r="P168">
        <f t="shared" si="105"/>
        <v>0</v>
      </c>
    </row>
    <row r="169" spans="1:16" x14ac:dyDescent="0.25">
      <c r="A169" s="3" t="s">
        <v>181</v>
      </c>
      <c r="B169" s="47">
        <f>B8</f>
        <v>1556</v>
      </c>
      <c r="C169" s="47">
        <f t="shared" ref="C169:P169" si="106">C8</f>
        <v>115226802</v>
      </c>
      <c r="D169" s="47">
        <f t="shared" si="106"/>
        <v>0</v>
      </c>
      <c r="E169" s="47">
        <f t="shared" si="106"/>
        <v>0</v>
      </c>
      <c r="F169" s="47">
        <f t="shared" si="106"/>
        <v>0</v>
      </c>
      <c r="G169" s="47">
        <f t="shared" si="106"/>
        <v>0</v>
      </c>
      <c r="H169" s="47">
        <f t="shared" si="106"/>
        <v>0</v>
      </c>
      <c r="I169" s="47">
        <f t="shared" si="106"/>
        <v>0</v>
      </c>
      <c r="J169" s="47">
        <f t="shared" si="106"/>
        <v>0</v>
      </c>
      <c r="K169" s="47">
        <f t="shared" si="106"/>
        <v>0</v>
      </c>
      <c r="L169" s="47">
        <f t="shared" si="106"/>
        <v>0</v>
      </c>
      <c r="M169" s="47">
        <f t="shared" si="106"/>
        <v>0</v>
      </c>
      <c r="N169" s="47">
        <f t="shared" si="106"/>
        <v>0</v>
      </c>
      <c r="O169" s="47">
        <f t="shared" si="106"/>
        <v>0</v>
      </c>
      <c r="P169" s="47">
        <f t="shared" si="106"/>
        <v>0</v>
      </c>
    </row>
    <row r="170" spans="1:16" x14ac:dyDescent="0.25">
      <c r="A170" t="s">
        <v>5</v>
      </c>
      <c r="B170" s="47">
        <f>B17+B20</f>
        <v>30</v>
      </c>
      <c r="C170" s="47">
        <f t="shared" ref="C170:P170" si="107">C17+C20</f>
        <v>1523005</v>
      </c>
      <c r="D170" s="47">
        <f t="shared" si="107"/>
        <v>0</v>
      </c>
      <c r="E170" s="47">
        <f t="shared" si="107"/>
        <v>0</v>
      </c>
      <c r="F170" s="47">
        <f t="shared" si="107"/>
        <v>0</v>
      </c>
      <c r="G170" s="47">
        <f t="shared" si="107"/>
        <v>0</v>
      </c>
      <c r="H170" s="47">
        <f t="shared" si="107"/>
        <v>0</v>
      </c>
      <c r="I170" s="47">
        <f t="shared" si="107"/>
        <v>0</v>
      </c>
      <c r="J170" s="47">
        <f t="shared" si="107"/>
        <v>0</v>
      </c>
      <c r="K170" s="47">
        <f t="shared" si="107"/>
        <v>0</v>
      </c>
      <c r="L170" s="47">
        <f t="shared" si="107"/>
        <v>0</v>
      </c>
      <c r="M170" s="47">
        <f t="shared" si="107"/>
        <v>0</v>
      </c>
      <c r="N170" s="47">
        <f t="shared" si="107"/>
        <v>0</v>
      </c>
      <c r="O170" s="47">
        <f t="shared" si="107"/>
        <v>0</v>
      </c>
      <c r="P170" s="47">
        <f t="shared" si="107"/>
        <v>0</v>
      </c>
    </row>
    <row r="171" spans="1:16" x14ac:dyDescent="0.25">
      <c r="A171" t="s">
        <v>78</v>
      </c>
      <c r="B171">
        <f>B156</f>
        <v>32</v>
      </c>
      <c r="C171">
        <f t="shared" ref="C171:P171" si="108">C156</f>
        <v>8692497</v>
      </c>
      <c r="D171">
        <f t="shared" si="108"/>
        <v>0</v>
      </c>
      <c r="E171">
        <f t="shared" si="108"/>
        <v>0</v>
      </c>
      <c r="F171">
        <f t="shared" si="108"/>
        <v>0</v>
      </c>
      <c r="G171">
        <f t="shared" si="108"/>
        <v>0</v>
      </c>
      <c r="H171">
        <f t="shared" si="108"/>
        <v>0</v>
      </c>
      <c r="I171">
        <f t="shared" si="108"/>
        <v>0</v>
      </c>
      <c r="J171">
        <f t="shared" si="108"/>
        <v>0</v>
      </c>
      <c r="K171">
        <f t="shared" si="108"/>
        <v>0</v>
      </c>
      <c r="L171">
        <f t="shared" si="108"/>
        <v>0</v>
      </c>
      <c r="M171">
        <f t="shared" si="108"/>
        <v>0</v>
      </c>
      <c r="N171">
        <f t="shared" si="108"/>
        <v>0</v>
      </c>
      <c r="O171">
        <f t="shared" si="108"/>
        <v>0</v>
      </c>
      <c r="P171">
        <f t="shared" si="108"/>
        <v>0</v>
      </c>
    </row>
    <row r="172" spans="1:16" x14ac:dyDescent="0.25">
      <c r="A172" s="44" t="s">
        <v>59</v>
      </c>
    </row>
    <row r="173" spans="1:16" x14ac:dyDescent="0.25">
      <c r="A173" t="s">
        <v>79</v>
      </c>
      <c r="B173">
        <f>B157</f>
        <v>376</v>
      </c>
      <c r="C173">
        <f t="shared" ref="C173:P173" si="109">C157</f>
        <v>13129761</v>
      </c>
      <c r="D173">
        <f t="shared" si="109"/>
        <v>0</v>
      </c>
      <c r="E173">
        <f t="shared" si="109"/>
        <v>0</v>
      </c>
      <c r="F173">
        <f t="shared" si="109"/>
        <v>0</v>
      </c>
      <c r="G173">
        <f t="shared" si="109"/>
        <v>0</v>
      </c>
      <c r="H173">
        <f t="shared" si="109"/>
        <v>0</v>
      </c>
      <c r="I173">
        <f t="shared" si="109"/>
        <v>0</v>
      </c>
      <c r="J173">
        <f t="shared" si="109"/>
        <v>0</v>
      </c>
      <c r="K173">
        <f t="shared" si="109"/>
        <v>0</v>
      </c>
      <c r="L173">
        <f t="shared" si="109"/>
        <v>0</v>
      </c>
      <c r="M173">
        <f t="shared" si="109"/>
        <v>0</v>
      </c>
      <c r="N173">
        <f t="shared" si="109"/>
        <v>0</v>
      </c>
      <c r="O173">
        <f t="shared" si="109"/>
        <v>0</v>
      </c>
      <c r="P173">
        <f t="shared" si="109"/>
        <v>0</v>
      </c>
    </row>
    <row r="174" spans="1:16" x14ac:dyDescent="0.25">
      <c r="A174" t="s">
        <v>80</v>
      </c>
      <c r="B174">
        <f>B158</f>
        <v>10</v>
      </c>
      <c r="C174">
        <f t="shared" ref="C174:P174" si="110">C158</f>
        <v>130425</v>
      </c>
      <c r="D174">
        <f t="shared" si="110"/>
        <v>0</v>
      </c>
      <c r="E174">
        <f t="shared" si="110"/>
        <v>0</v>
      </c>
      <c r="F174">
        <f t="shared" si="110"/>
        <v>0</v>
      </c>
      <c r="G174">
        <f t="shared" si="110"/>
        <v>0</v>
      </c>
      <c r="H174">
        <f t="shared" si="110"/>
        <v>0</v>
      </c>
      <c r="I174">
        <f t="shared" si="110"/>
        <v>0</v>
      </c>
      <c r="J174">
        <f t="shared" si="110"/>
        <v>0</v>
      </c>
      <c r="K174">
        <f t="shared" si="110"/>
        <v>0</v>
      </c>
      <c r="L174">
        <f t="shared" si="110"/>
        <v>0</v>
      </c>
      <c r="M174">
        <f t="shared" si="110"/>
        <v>0</v>
      </c>
      <c r="N174">
        <f t="shared" si="110"/>
        <v>0</v>
      </c>
      <c r="O174">
        <f t="shared" si="110"/>
        <v>0</v>
      </c>
      <c r="P174">
        <f t="shared" si="110"/>
        <v>0</v>
      </c>
    </row>
    <row r="175" spans="1:16" x14ac:dyDescent="0.25">
      <c r="A175" t="s">
        <v>81</v>
      </c>
      <c r="B175">
        <f>B159</f>
        <v>0</v>
      </c>
      <c r="C175">
        <f t="shared" ref="C175:P175" si="111">C159</f>
        <v>99295</v>
      </c>
      <c r="D175">
        <f t="shared" si="111"/>
        <v>0</v>
      </c>
      <c r="E175">
        <f t="shared" si="111"/>
        <v>0</v>
      </c>
      <c r="F175">
        <f t="shared" si="111"/>
        <v>0</v>
      </c>
      <c r="G175">
        <f t="shared" si="111"/>
        <v>0</v>
      </c>
      <c r="H175">
        <f t="shared" si="111"/>
        <v>0</v>
      </c>
      <c r="I175">
        <f t="shared" si="111"/>
        <v>0</v>
      </c>
      <c r="J175">
        <f t="shared" si="111"/>
        <v>0</v>
      </c>
      <c r="K175">
        <f t="shared" si="111"/>
        <v>0</v>
      </c>
      <c r="L175">
        <f t="shared" si="111"/>
        <v>0</v>
      </c>
      <c r="M175">
        <f t="shared" si="111"/>
        <v>0</v>
      </c>
      <c r="N175">
        <f t="shared" si="111"/>
        <v>0</v>
      </c>
      <c r="O175">
        <f t="shared" si="111"/>
        <v>0</v>
      </c>
      <c r="P175">
        <f t="shared" si="111"/>
        <v>0</v>
      </c>
    </row>
    <row r="176" spans="1:16" x14ac:dyDescent="0.25">
      <c r="A176" t="s">
        <v>82</v>
      </c>
      <c r="B176">
        <f>B160</f>
        <v>0</v>
      </c>
      <c r="C176">
        <f t="shared" ref="C176:P176" si="112">C160</f>
        <v>116705</v>
      </c>
      <c r="D176">
        <f t="shared" si="112"/>
        <v>0</v>
      </c>
      <c r="E176">
        <f t="shared" si="112"/>
        <v>0</v>
      </c>
      <c r="F176">
        <f t="shared" si="112"/>
        <v>0</v>
      </c>
      <c r="G176">
        <f t="shared" si="112"/>
        <v>0</v>
      </c>
      <c r="H176">
        <f t="shared" si="112"/>
        <v>0</v>
      </c>
      <c r="I176">
        <f t="shared" si="112"/>
        <v>0</v>
      </c>
      <c r="J176">
        <f t="shared" si="112"/>
        <v>0</v>
      </c>
      <c r="K176">
        <f t="shared" si="112"/>
        <v>0</v>
      </c>
      <c r="L176">
        <f t="shared" si="112"/>
        <v>0</v>
      </c>
      <c r="M176">
        <f t="shared" si="112"/>
        <v>0</v>
      </c>
      <c r="N176">
        <f t="shared" si="112"/>
        <v>0</v>
      </c>
      <c r="O176">
        <f t="shared" si="112"/>
        <v>0</v>
      </c>
      <c r="P176">
        <f t="shared" si="112"/>
        <v>0</v>
      </c>
    </row>
    <row r="177" spans="1:16" x14ac:dyDescent="0.25">
      <c r="A177" t="s">
        <v>83</v>
      </c>
      <c r="B177">
        <f>B161</f>
        <v>0</v>
      </c>
      <c r="C177">
        <f t="shared" ref="C177:P177" si="113">C161</f>
        <v>58550</v>
      </c>
      <c r="D177">
        <f t="shared" si="113"/>
        <v>0</v>
      </c>
      <c r="E177">
        <f t="shared" si="113"/>
        <v>0</v>
      </c>
      <c r="F177">
        <f t="shared" si="113"/>
        <v>0</v>
      </c>
      <c r="G177">
        <f t="shared" si="113"/>
        <v>0</v>
      </c>
      <c r="H177">
        <f t="shared" si="113"/>
        <v>0</v>
      </c>
      <c r="I177">
        <f t="shared" si="113"/>
        <v>0</v>
      </c>
      <c r="J177">
        <f t="shared" si="113"/>
        <v>0</v>
      </c>
      <c r="K177">
        <f t="shared" si="113"/>
        <v>0</v>
      </c>
      <c r="L177">
        <f t="shared" si="113"/>
        <v>0</v>
      </c>
      <c r="M177">
        <f t="shared" si="113"/>
        <v>0</v>
      </c>
      <c r="N177">
        <f t="shared" si="113"/>
        <v>0</v>
      </c>
      <c r="O177">
        <f t="shared" si="113"/>
        <v>0</v>
      </c>
      <c r="P177">
        <f t="shared" si="113"/>
        <v>0</v>
      </c>
    </row>
    <row r="178" spans="1:16" x14ac:dyDescent="0.25">
      <c r="A178" s="44" t="s">
        <v>75</v>
      </c>
    </row>
    <row r="179" spans="1:16" x14ac:dyDescent="0.25">
      <c r="A179" t="s">
        <v>79</v>
      </c>
      <c r="B179">
        <f>B162</f>
        <v>625</v>
      </c>
      <c r="C179">
        <f t="shared" ref="C179:P179" si="114">C162</f>
        <v>8553443</v>
      </c>
      <c r="D179">
        <f t="shared" si="114"/>
        <v>0</v>
      </c>
      <c r="E179">
        <f t="shared" si="114"/>
        <v>0</v>
      </c>
      <c r="F179">
        <f t="shared" si="114"/>
        <v>0</v>
      </c>
      <c r="G179">
        <f t="shared" si="114"/>
        <v>0</v>
      </c>
      <c r="H179">
        <f t="shared" si="114"/>
        <v>0</v>
      </c>
      <c r="I179">
        <f t="shared" si="114"/>
        <v>0</v>
      </c>
      <c r="J179">
        <f t="shared" si="114"/>
        <v>0</v>
      </c>
      <c r="K179">
        <f t="shared" si="114"/>
        <v>0</v>
      </c>
      <c r="L179">
        <f t="shared" si="114"/>
        <v>0</v>
      </c>
      <c r="M179">
        <f t="shared" si="114"/>
        <v>0</v>
      </c>
      <c r="N179">
        <f t="shared" si="114"/>
        <v>0</v>
      </c>
      <c r="O179">
        <f t="shared" si="114"/>
        <v>0</v>
      </c>
      <c r="P179">
        <f t="shared" si="114"/>
        <v>0</v>
      </c>
    </row>
    <row r="180" spans="1:16" x14ac:dyDescent="0.25">
      <c r="A180" t="s">
        <v>80</v>
      </c>
      <c r="B180">
        <f>B163</f>
        <v>0</v>
      </c>
      <c r="C180">
        <f t="shared" ref="C180:P180" si="115">C163</f>
        <v>317390</v>
      </c>
      <c r="D180">
        <f t="shared" si="115"/>
        <v>0</v>
      </c>
      <c r="E180">
        <f t="shared" si="115"/>
        <v>0</v>
      </c>
      <c r="F180">
        <f t="shared" si="115"/>
        <v>0</v>
      </c>
      <c r="G180">
        <f t="shared" si="115"/>
        <v>0</v>
      </c>
      <c r="H180">
        <f t="shared" si="115"/>
        <v>0</v>
      </c>
      <c r="I180">
        <f t="shared" si="115"/>
        <v>0</v>
      </c>
      <c r="J180">
        <f t="shared" si="115"/>
        <v>0</v>
      </c>
      <c r="K180">
        <f t="shared" si="115"/>
        <v>0</v>
      </c>
      <c r="L180">
        <f t="shared" si="115"/>
        <v>0</v>
      </c>
      <c r="M180">
        <f t="shared" si="115"/>
        <v>0</v>
      </c>
      <c r="N180">
        <f t="shared" si="115"/>
        <v>0</v>
      </c>
      <c r="O180">
        <f t="shared" si="115"/>
        <v>0</v>
      </c>
      <c r="P180">
        <f t="shared" si="115"/>
        <v>0</v>
      </c>
    </row>
    <row r="181" spans="1:16" x14ac:dyDescent="0.25">
      <c r="A181" t="s">
        <v>81</v>
      </c>
      <c r="B181">
        <f>B164</f>
        <v>0</v>
      </c>
      <c r="C181">
        <f t="shared" ref="C181:P181" si="116">C164</f>
        <v>187905</v>
      </c>
      <c r="D181">
        <f t="shared" si="116"/>
        <v>0</v>
      </c>
      <c r="E181">
        <f t="shared" si="116"/>
        <v>0</v>
      </c>
      <c r="F181">
        <f t="shared" si="116"/>
        <v>0</v>
      </c>
      <c r="G181">
        <f t="shared" si="116"/>
        <v>0</v>
      </c>
      <c r="H181">
        <f t="shared" si="116"/>
        <v>0</v>
      </c>
      <c r="I181">
        <f t="shared" si="116"/>
        <v>0</v>
      </c>
      <c r="J181">
        <f t="shared" si="116"/>
        <v>0</v>
      </c>
      <c r="K181">
        <f t="shared" si="116"/>
        <v>0</v>
      </c>
      <c r="L181">
        <f t="shared" si="116"/>
        <v>0</v>
      </c>
      <c r="M181">
        <f t="shared" si="116"/>
        <v>0</v>
      </c>
      <c r="N181">
        <f t="shared" si="116"/>
        <v>0</v>
      </c>
      <c r="O181">
        <f t="shared" si="116"/>
        <v>0</v>
      </c>
      <c r="P181">
        <f t="shared" si="116"/>
        <v>0</v>
      </c>
    </row>
    <row r="182" spans="1:16" x14ac:dyDescent="0.25">
      <c r="A182" t="s">
        <v>82</v>
      </c>
      <c r="B182">
        <f>B165</f>
        <v>0</v>
      </c>
      <c r="C182">
        <f t="shared" ref="C182:P182" si="117">C165</f>
        <v>173845</v>
      </c>
      <c r="D182">
        <f t="shared" si="117"/>
        <v>0</v>
      </c>
      <c r="E182">
        <f t="shared" si="117"/>
        <v>0</v>
      </c>
      <c r="F182">
        <f t="shared" si="117"/>
        <v>0</v>
      </c>
      <c r="G182">
        <f t="shared" si="117"/>
        <v>0</v>
      </c>
      <c r="H182">
        <f t="shared" si="117"/>
        <v>0</v>
      </c>
      <c r="I182">
        <f t="shared" si="117"/>
        <v>0</v>
      </c>
      <c r="J182">
        <f t="shared" si="117"/>
        <v>0</v>
      </c>
      <c r="K182">
        <f t="shared" si="117"/>
        <v>0</v>
      </c>
      <c r="L182">
        <f t="shared" si="117"/>
        <v>0</v>
      </c>
      <c r="M182">
        <f t="shared" si="117"/>
        <v>0</v>
      </c>
      <c r="N182">
        <f t="shared" si="117"/>
        <v>0</v>
      </c>
      <c r="O182">
        <f t="shared" si="117"/>
        <v>0</v>
      </c>
      <c r="P182">
        <f t="shared" si="117"/>
        <v>0</v>
      </c>
    </row>
    <row r="183" spans="1:16" x14ac:dyDescent="0.25">
      <c r="A183" t="s">
        <v>83</v>
      </c>
      <c r="B183">
        <f>B166</f>
        <v>10</v>
      </c>
      <c r="C183">
        <f t="shared" ref="C183:P183" si="118">C166</f>
        <v>69020</v>
      </c>
      <c r="D183">
        <f t="shared" si="118"/>
        <v>0</v>
      </c>
      <c r="E183">
        <f t="shared" si="118"/>
        <v>0</v>
      </c>
      <c r="F183">
        <f t="shared" si="118"/>
        <v>0</v>
      </c>
      <c r="G183">
        <f t="shared" si="118"/>
        <v>0</v>
      </c>
      <c r="H183">
        <f t="shared" si="118"/>
        <v>0</v>
      </c>
      <c r="I183">
        <f t="shared" si="118"/>
        <v>0</v>
      </c>
      <c r="J183">
        <f t="shared" si="118"/>
        <v>0</v>
      </c>
      <c r="K183">
        <f t="shared" si="118"/>
        <v>0</v>
      </c>
      <c r="L183">
        <f t="shared" si="118"/>
        <v>0</v>
      </c>
      <c r="M183">
        <f t="shared" si="118"/>
        <v>0</v>
      </c>
      <c r="N183">
        <f t="shared" si="118"/>
        <v>0</v>
      </c>
      <c r="O183">
        <f t="shared" si="118"/>
        <v>0</v>
      </c>
      <c r="P183">
        <f t="shared" si="118"/>
        <v>0</v>
      </c>
    </row>
    <row r="185" spans="1:16" x14ac:dyDescent="0.25">
      <c r="A185" s="44" t="s">
        <v>84</v>
      </c>
    </row>
    <row r="186" spans="1:16" x14ac:dyDescent="0.25">
      <c r="A186" s="3" t="s">
        <v>171</v>
      </c>
      <c r="B186" s="183">
        <v>27.12</v>
      </c>
      <c r="C186">
        <v>33.26</v>
      </c>
    </row>
    <row r="187" spans="1:16" x14ac:dyDescent="0.25">
      <c r="A187" s="3" t="s">
        <v>172</v>
      </c>
      <c r="B187" s="184">
        <v>27.06</v>
      </c>
      <c r="C187">
        <v>34.049999999999997</v>
      </c>
    </row>
    <row r="188" spans="1:16" x14ac:dyDescent="0.25">
      <c r="A188" s="3" t="s">
        <v>173</v>
      </c>
      <c r="B188" s="183">
        <v>36.18</v>
      </c>
      <c r="C188">
        <v>27.45</v>
      </c>
    </row>
    <row r="189" spans="1:16" x14ac:dyDescent="0.25">
      <c r="A189" s="3" t="s">
        <v>174</v>
      </c>
      <c r="B189" s="183">
        <v>0</v>
      </c>
      <c r="C189">
        <v>1.47</v>
      </c>
    </row>
    <row r="190" spans="1:16" x14ac:dyDescent="0.25">
      <c r="A190" s="3" t="s">
        <v>164</v>
      </c>
      <c r="B190" s="186">
        <v>101500</v>
      </c>
      <c r="C190">
        <v>199100</v>
      </c>
    </row>
    <row r="191" spans="1:16" x14ac:dyDescent="0.25">
      <c r="A191" s="3" t="s">
        <v>165</v>
      </c>
      <c r="B191" s="183">
        <v>4.5</v>
      </c>
      <c r="C191">
        <v>14.48</v>
      </c>
    </row>
    <row r="192" spans="1:16" x14ac:dyDescent="0.25">
      <c r="A192" s="3" t="s">
        <v>166</v>
      </c>
      <c r="B192" s="184">
        <v>9.9600000000000009</v>
      </c>
      <c r="C192">
        <v>28.09</v>
      </c>
    </row>
    <row r="193" spans="1:16" x14ac:dyDescent="0.25">
      <c r="A193" s="3" t="s">
        <v>167</v>
      </c>
      <c r="B193" s="183">
        <v>21.21</v>
      </c>
      <c r="C193">
        <v>38.61</v>
      </c>
    </row>
    <row r="194" spans="1:16" x14ac:dyDescent="0.25">
      <c r="A194" s="3" t="s">
        <v>168</v>
      </c>
      <c r="B194" s="184">
        <v>64.33</v>
      </c>
      <c r="C194">
        <v>18.82</v>
      </c>
    </row>
    <row r="195" spans="1:16" x14ac:dyDescent="0.25">
      <c r="A195" s="3" t="s">
        <v>169</v>
      </c>
      <c r="B195" s="182">
        <v>1946</v>
      </c>
      <c r="C195">
        <v>1974</v>
      </c>
    </row>
    <row r="196" spans="1:16" x14ac:dyDescent="0.25">
      <c r="A196" s="44"/>
    </row>
    <row r="197" spans="1:16" x14ac:dyDescent="0.25">
      <c r="A197" s="1" t="s">
        <v>170</v>
      </c>
      <c r="B197" s="3" t="str">
        <f>B6</f>
        <v>For Tract 30111000300</v>
      </c>
      <c r="C197" s="3" t="str">
        <f t="shared" ref="C197:P197" si="119">C6</f>
        <v>Nation</v>
      </c>
      <c r="D197" s="3">
        <f t="shared" si="119"/>
        <v>0</v>
      </c>
      <c r="E197" s="3">
        <f t="shared" si="119"/>
        <v>0</v>
      </c>
      <c r="F197" s="3">
        <f t="shared" si="119"/>
        <v>0</v>
      </c>
      <c r="G197" s="3">
        <f t="shared" si="119"/>
        <v>0</v>
      </c>
      <c r="H197" s="3">
        <f t="shared" si="119"/>
        <v>0</v>
      </c>
      <c r="I197" s="3">
        <f t="shared" si="119"/>
        <v>0</v>
      </c>
      <c r="J197" s="3">
        <f t="shared" si="119"/>
        <v>0</v>
      </c>
      <c r="K197" s="3">
        <f t="shared" si="119"/>
        <v>0</v>
      </c>
      <c r="L197" s="3">
        <f t="shared" si="119"/>
        <v>0</v>
      </c>
      <c r="M197" s="3">
        <f t="shared" si="119"/>
        <v>0</v>
      </c>
      <c r="N197" s="3">
        <f t="shared" si="119"/>
        <v>0</v>
      </c>
      <c r="O197" s="3">
        <f t="shared" si="119"/>
        <v>0</v>
      </c>
      <c r="P197" s="3">
        <f t="shared" si="119"/>
        <v>0</v>
      </c>
    </row>
    <row r="198" spans="1:16" ht="30" x14ac:dyDescent="0.25">
      <c r="A198" s="46" t="s">
        <v>85</v>
      </c>
      <c r="B198" s="4">
        <f>B186/100</f>
        <v>0.2712</v>
      </c>
      <c r="C198" s="4">
        <f t="shared" ref="C198:P198" si="120">C186/100</f>
        <v>0.33260000000000001</v>
      </c>
      <c r="D198" s="4">
        <f t="shared" si="120"/>
        <v>0</v>
      </c>
      <c r="E198" s="4">
        <f t="shared" si="120"/>
        <v>0</v>
      </c>
      <c r="F198" s="4">
        <f t="shared" si="120"/>
        <v>0</v>
      </c>
      <c r="G198" s="4">
        <f t="shared" si="120"/>
        <v>0</v>
      </c>
      <c r="H198" s="4">
        <f t="shared" si="120"/>
        <v>0</v>
      </c>
      <c r="I198" s="4">
        <f t="shared" si="120"/>
        <v>0</v>
      </c>
      <c r="J198" s="4">
        <f t="shared" si="120"/>
        <v>0</v>
      </c>
      <c r="K198" s="4">
        <f t="shared" si="120"/>
        <v>0</v>
      </c>
      <c r="L198" s="4">
        <f t="shared" si="120"/>
        <v>0</v>
      </c>
      <c r="M198" s="4">
        <f t="shared" si="120"/>
        <v>0</v>
      </c>
      <c r="N198" s="4">
        <f t="shared" si="120"/>
        <v>0</v>
      </c>
      <c r="O198" s="4">
        <f t="shared" si="120"/>
        <v>0</v>
      </c>
      <c r="P198" s="4">
        <f t="shared" si="120"/>
        <v>0</v>
      </c>
    </row>
    <row r="199" spans="1:16" ht="45" x14ac:dyDescent="0.25">
      <c r="A199" s="46" t="s">
        <v>86</v>
      </c>
      <c r="B199" s="4">
        <f>B187/100</f>
        <v>0.27060000000000001</v>
      </c>
      <c r="C199" s="4">
        <f t="shared" ref="C199:P199" si="121">C187/100</f>
        <v>0.34049999999999997</v>
      </c>
      <c r="D199" s="4">
        <f t="shared" si="121"/>
        <v>0</v>
      </c>
      <c r="E199" s="4">
        <f t="shared" si="121"/>
        <v>0</v>
      </c>
      <c r="F199" s="4">
        <f t="shared" si="121"/>
        <v>0</v>
      </c>
      <c r="G199" s="4">
        <f t="shared" si="121"/>
        <v>0</v>
      </c>
      <c r="H199" s="4">
        <f t="shared" si="121"/>
        <v>0</v>
      </c>
      <c r="I199" s="4">
        <f t="shared" si="121"/>
        <v>0</v>
      </c>
      <c r="J199" s="4">
        <f t="shared" si="121"/>
        <v>0</v>
      </c>
      <c r="K199" s="4">
        <f t="shared" si="121"/>
        <v>0</v>
      </c>
      <c r="L199" s="4">
        <f t="shared" si="121"/>
        <v>0</v>
      </c>
      <c r="M199" s="4">
        <f t="shared" si="121"/>
        <v>0</v>
      </c>
      <c r="N199" s="4">
        <f t="shared" si="121"/>
        <v>0</v>
      </c>
      <c r="O199" s="4">
        <f t="shared" si="121"/>
        <v>0</v>
      </c>
      <c r="P199" s="4">
        <f t="shared" si="121"/>
        <v>0</v>
      </c>
    </row>
    <row r="200" spans="1:16" x14ac:dyDescent="0.25">
      <c r="A200" s="46" t="s">
        <v>87</v>
      </c>
      <c r="B200" s="4">
        <f>B188/100</f>
        <v>0.36180000000000001</v>
      </c>
      <c r="C200" s="4">
        <f t="shared" ref="C200:P200" si="122">C188/100</f>
        <v>0.27449999999999997</v>
      </c>
      <c r="D200" s="4">
        <f t="shared" si="122"/>
        <v>0</v>
      </c>
      <c r="E200" s="4">
        <f t="shared" si="122"/>
        <v>0</v>
      </c>
      <c r="F200" s="4">
        <f t="shared" si="122"/>
        <v>0</v>
      </c>
      <c r="G200" s="4">
        <f t="shared" si="122"/>
        <v>0</v>
      </c>
      <c r="H200" s="4">
        <f t="shared" si="122"/>
        <v>0</v>
      </c>
      <c r="I200" s="4">
        <f t="shared" si="122"/>
        <v>0</v>
      </c>
      <c r="J200" s="4">
        <f t="shared" si="122"/>
        <v>0</v>
      </c>
      <c r="K200" s="4">
        <f t="shared" si="122"/>
        <v>0</v>
      </c>
      <c r="L200" s="4">
        <f t="shared" si="122"/>
        <v>0</v>
      </c>
      <c r="M200" s="4">
        <f t="shared" si="122"/>
        <v>0</v>
      </c>
      <c r="N200" s="4">
        <f t="shared" si="122"/>
        <v>0</v>
      </c>
      <c r="O200" s="4">
        <f t="shared" si="122"/>
        <v>0</v>
      </c>
      <c r="P200" s="4">
        <f t="shared" si="122"/>
        <v>0</v>
      </c>
    </row>
    <row r="201" spans="1:16" ht="30" x14ac:dyDescent="0.25">
      <c r="A201" s="46" t="s">
        <v>88</v>
      </c>
      <c r="B201" s="4">
        <f>B189/100</f>
        <v>0</v>
      </c>
      <c r="C201" s="4">
        <f t="shared" ref="C201:P201" si="123">C189/100</f>
        <v>1.47E-2</v>
      </c>
      <c r="D201" s="4">
        <f t="shared" si="123"/>
        <v>0</v>
      </c>
      <c r="E201" s="4">
        <f t="shared" si="123"/>
        <v>0</v>
      </c>
      <c r="F201" s="4">
        <f t="shared" si="123"/>
        <v>0</v>
      </c>
      <c r="G201" s="4">
        <f t="shared" si="123"/>
        <v>0</v>
      </c>
      <c r="H201" s="4">
        <f t="shared" si="123"/>
        <v>0</v>
      </c>
      <c r="I201" s="4">
        <f t="shared" si="123"/>
        <v>0</v>
      </c>
      <c r="J201" s="4">
        <f t="shared" si="123"/>
        <v>0</v>
      </c>
      <c r="K201" s="4">
        <f t="shared" si="123"/>
        <v>0</v>
      </c>
      <c r="L201" s="4">
        <f t="shared" si="123"/>
        <v>0</v>
      </c>
      <c r="M201" s="4">
        <f t="shared" si="123"/>
        <v>0</v>
      </c>
      <c r="N201" s="4">
        <f t="shared" si="123"/>
        <v>0</v>
      </c>
      <c r="O201" s="4">
        <f t="shared" si="123"/>
        <v>0</v>
      </c>
      <c r="P201" s="4">
        <f t="shared" si="123"/>
        <v>0</v>
      </c>
    </row>
    <row r="202" spans="1:16" ht="45" x14ac:dyDescent="0.25">
      <c r="A202" s="46" t="s">
        <v>89</v>
      </c>
      <c r="B202" s="4">
        <f>B190/HLOOKUP("NATION",$B$168:$P$190,23,FALSE)</f>
        <v>0.50979407332998494</v>
      </c>
      <c r="C202" s="4">
        <f>C190/HLOOKUP("NATION",$B$168:$P$190,23,FALSE)</f>
        <v>1</v>
      </c>
      <c r="D202" s="4">
        <f>D190/HLOOKUP("NATION",$B$168:$P$190,23,FALSE)</f>
        <v>0</v>
      </c>
      <c r="E202" s="4">
        <f>E190/HLOOKUP("NATION",$B$168:$P$190,23,FALSE)</f>
        <v>0</v>
      </c>
      <c r="F202" s="4">
        <f t="shared" ref="F202:P202" si="124">F190/HLOOKUP("NATION",$B$168:$P$190,23,FALSE)</f>
        <v>0</v>
      </c>
      <c r="G202" s="4">
        <f t="shared" si="124"/>
        <v>0</v>
      </c>
      <c r="H202" s="4">
        <f t="shared" si="124"/>
        <v>0</v>
      </c>
      <c r="I202" s="4">
        <f t="shared" si="124"/>
        <v>0</v>
      </c>
      <c r="J202" s="4">
        <f t="shared" si="124"/>
        <v>0</v>
      </c>
      <c r="K202" s="4">
        <f t="shared" si="124"/>
        <v>0</v>
      </c>
      <c r="L202" s="4">
        <f t="shared" si="124"/>
        <v>0</v>
      </c>
      <c r="M202" s="4">
        <f t="shared" si="124"/>
        <v>0</v>
      </c>
      <c r="N202" s="4">
        <f t="shared" si="124"/>
        <v>0</v>
      </c>
      <c r="O202" s="4">
        <f t="shared" si="124"/>
        <v>0</v>
      </c>
      <c r="P202" s="4">
        <f t="shared" si="124"/>
        <v>0</v>
      </c>
    </row>
    <row r="203" spans="1:16" x14ac:dyDescent="0.25">
      <c r="A203" s="46" t="s">
        <v>91</v>
      </c>
      <c r="B203" s="4">
        <f>B191/100</f>
        <v>4.4999999999999998E-2</v>
      </c>
      <c r="C203" s="4">
        <f t="shared" ref="C203:P203" si="125">C191/100</f>
        <v>0.14480000000000001</v>
      </c>
      <c r="D203" s="4">
        <f t="shared" si="125"/>
        <v>0</v>
      </c>
      <c r="E203" s="4">
        <f t="shared" si="125"/>
        <v>0</v>
      </c>
      <c r="F203" s="4">
        <f t="shared" si="125"/>
        <v>0</v>
      </c>
      <c r="G203" s="4">
        <f t="shared" si="125"/>
        <v>0</v>
      </c>
      <c r="H203" s="4">
        <f t="shared" si="125"/>
        <v>0</v>
      </c>
      <c r="I203" s="4">
        <f t="shared" si="125"/>
        <v>0</v>
      </c>
      <c r="J203" s="4">
        <f t="shared" si="125"/>
        <v>0</v>
      </c>
      <c r="K203" s="4">
        <f t="shared" si="125"/>
        <v>0</v>
      </c>
      <c r="L203" s="4">
        <f t="shared" si="125"/>
        <v>0</v>
      </c>
      <c r="M203" s="4">
        <f t="shared" si="125"/>
        <v>0</v>
      </c>
      <c r="N203" s="4">
        <f t="shared" si="125"/>
        <v>0</v>
      </c>
      <c r="O203" s="4">
        <f t="shared" si="125"/>
        <v>0</v>
      </c>
      <c r="P203" s="4">
        <f t="shared" si="125"/>
        <v>0</v>
      </c>
    </row>
    <row r="204" spans="1:16" x14ac:dyDescent="0.25">
      <c r="A204" s="46" t="s">
        <v>92</v>
      </c>
      <c r="B204" s="4">
        <f>B192/100</f>
        <v>9.9600000000000008E-2</v>
      </c>
      <c r="C204" s="4">
        <f t="shared" ref="C204:P204" si="126">C192/100</f>
        <v>0.28089999999999998</v>
      </c>
      <c r="D204" s="4">
        <f t="shared" si="126"/>
        <v>0</v>
      </c>
      <c r="E204" s="4">
        <f t="shared" si="126"/>
        <v>0</v>
      </c>
      <c r="F204" s="4">
        <f t="shared" si="126"/>
        <v>0</v>
      </c>
      <c r="G204" s="4">
        <f t="shared" si="126"/>
        <v>0</v>
      </c>
      <c r="H204" s="4">
        <f t="shared" si="126"/>
        <v>0</v>
      </c>
      <c r="I204" s="4">
        <f t="shared" si="126"/>
        <v>0</v>
      </c>
      <c r="J204" s="4">
        <f t="shared" si="126"/>
        <v>0</v>
      </c>
      <c r="K204" s="4">
        <f t="shared" si="126"/>
        <v>0</v>
      </c>
      <c r="L204" s="4">
        <f t="shared" si="126"/>
        <v>0</v>
      </c>
      <c r="M204" s="4">
        <f t="shared" si="126"/>
        <v>0</v>
      </c>
      <c r="N204" s="4">
        <f t="shared" si="126"/>
        <v>0</v>
      </c>
      <c r="O204" s="4">
        <f t="shared" si="126"/>
        <v>0</v>
      </c>
      <c r="P204" s="4">
        <f t="shared" si="126"/>
        <v>0</v>
      </c>
    </row>
    <row r="205" spans="1:16" x14ac:dyDescent="0.25">
      <c r="A205" s="46" t="s">
        <v>93</v>
      </c>
      <c r="B205" s="4">
        <f>B193/100</f>
        <v>0.21210000000000001</v>
      </c>
      <c r="C205" s="4">
        <f t="shared" ref="C205:P205" si="127">C193/100</f>
        <v>0.3861</v>
      </c>
      <c r="D205" s="4">
        <f t="shared" si="127"/>
        <v>0</v>
      </c>
      <c r="E205" s="4">
        <f t="shared" si="127"/>
        <v>0</v>
      </c>
      <c r="F205" s="4">
        <f t="shared" si="127"/>
        <v>0</v>
      </c>
      <c r="G205" s="4">
        <f t="shared" si="127"/>
        <v>0</v>
      </c>
      <c r="H205" s="4">
        <f t="shared" si="127"/>
        <v>0</v>
      </c>
      <c r="I205" s="4">
        <f t="shared" si="127"/>
        <v>0</v>
      </c>
      <c r="J205" s="4">
        <f t="shared" si="127"/>
        <v>0</v>
      </c>
      <c r="K205" s="4">
        <f t="shared" si="127"/>
        <v>0</v>
      </c>
      <c r="L205" s="4">
        <f t="shared" si="127"/>
        <v>0</v>
      </c>
      <c r="M205" s="4">
        <f t="shared" si="127"/>
        <v>0</v>
      </c>
      <c r="N205" s="4">
        <f t="shared" si="127"/>
        <v>0</v>
      </c>
      <c r="O205" s="4">
        <f t="shared" si="127"/>
        <v>0</v>
      </c>
      <c r="P205" s="4">
        <f t="shared" si="127"/>
        <v>0</v>
      </c>
    </row>
    <row r="206" spans="1:16" x14ac:dyDescent="0.25">
      <c r="A206" s="46" t="s">
        <v>94</v>
      </c>
      <c r="B206" s="4">
        <f>B194/100</f>
        <v>0.64329999999999998</v>
      </c>
      <c r="C206" s="4">
        <f t="shared" ref="C206:P206" si="128">C194/100</f>
        <v>0.18820000000000001</v>
      </c>
      <c r="D206" s="4">
        <f t="shared" si="128"/>
        <v>0</v>
      </c>
      <c r="E206" s="4">
        <f t="shared" si="128"/>
        <v>0</v>
      </c>
      <c r="F206" s="4">
        <f t="shared" si="128"/>
        <v>0</v>
      </c>
      <c r="G206" s="4">
        <f t="shared" si="128"/>
        <v>0</v>
      </c>
      <c r="H206" s="4">
        <f t="shared" si="128"/>
        <v>0</v>
      </c>
      <c r="I206" s="4">
        <f t="shared" si="128"/>
        <v>0</v>
      </c>
      <c r="J206" s="4">
        <f t="shared" si="128"/>
        <v>0</v>
      </c>
      <c r="K206" s="4">
        <f t="shared" si="128"/>
        <v>0</v>
      </c>
      <c r="L206" s="4">
        <f t="shared" si="128"/>
        <v>0</v>
      </c>
      <c r="M206" s="4">
        <f t="shared" si="128"/>
        <v>0</v>
      </c>
      <c r="N206" s="4">
        <f t="shared" si="128"/>
        <v>0</v>
      </c>
      <c r="O206" s="4">
        <f t="shared" si="128"/>
        <v>0</v>
      </c>
      <c r="P206" s="4">
        <f t="shared" si="128"/>
        <v>0</v>
      </c>
    </row>
    <row r="207" spans="1:16" ht="30" x14ac:dyDescent="0.25">
      <c r="A207" s="46" t="s">
        <v>90</v>
      </c>
      <c r="B207">
        <f t="shared" ref="B207" si="129">B195</f>
        <v>1946</v>
      </c>
      <c r="C207">
        <f t="shared" ref="C207:P207" si="130">C195</f>
        <v>1974</v>
      </c>
      <c r="D207">
        <f t="shared" si="130"/>
        <v>0</v>
      </c>
      <c r="E207">
        <f t="shared" si="130"/>
        <v>0</v>
      </c>
      <c r="F207">
        <f t="shared" si="130"/>
        <v>0</v>
      </c>
      <c r="G207">
        <f t="shared" si="130"/>
        <v>0</v>
      </c>
      <c r="H207">
        <f t="shared" si="130"/>
        <v>0</v>
      </c>
      <c r="I207">
        <f t="shared" si="130"/>
        <v>0</v>
      </c>
      <c r="J207">
        <f t="shared" si="130"/>
        <v>0</v>
      </c>
      <c r="K207">
        <f t="shared" si="130"/>
        <v>0</v>
      </c>
      <c r="L207">
        <f t="shared" si="130"/>
        <v>0</v>
      </c>
      <c r="M207">
        <f t="shared" si="130"/>
        <v>0</v>
      </c>
      <c r="N207">
        <f t="shared" si="130"/>
        <v>0</v>
      </c>
      <c r="O207">
        <f t="shared" si="130"/>
        <v>0</v>
      </c>
      <c r="P207">
        <f t="shared" si="130"/>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Information</vt:lpstr>
      <vt:lpstr>Control_Panel</vt:lpstr>
      <vt:lpstr>Stage_1_Issue_Identification</vt:lpstr>
      <vt:lpstr>Stage_2_Issue_Characterization</vt:lpstr>
      <vt:lpstr>Stage_3_Issue_Location</vt:lpstr>
      <vt:lpstr>Data</vt:lpstr>
      <vt:lpstr>Geographies</vt:lpstr>
      <vt:lpstr>S1comp</vt:lpstr>
      <vt:lpstr>S2comp</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Thackeray</dc:creator>
  <cp:lastModifiedBy>Beckett, Brenda</cp:lastModifiedBy>
  <cp:lastPrinted>2012-09-17T22:52:24Z</cp:lastPrinted>
  <dcterms:created xsi:type="dcterms:W3CDTF">2012-08-03T04:18:59Z</dcterms:created>
  <dcterms:modified xsi:type="dcterms:W3CDTF">2016-02-17T15:45:24Z</dcterms:modified>
</cp:coreProperties>
</file>