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eckettb\Desktop\"/>
    </mc:Choice>
  </mc:AlternateContent>
  <bookViews>
    <workbookView xWindow="0" yWindow="0" windowWidth="21570" windowHeight="11595" tabRatio="656" activeTab="1"/>
  </bookViews>
  <sheets>
    <sheet name="Information" sheetId="4" r:id="rId1"/>
    <sheet name="Control_Panel" sheetId="1" r:id="rId2"/>
    <sheet name="Stage_1_Issue_Identification" sheetId="2" r:id="rId3"/>
    <sheet name="Stage_2_Issue_Characterization" sheetId="5" r:id="rId4"/>
    <sheet name="Stage_3_Issue_Location" sheetId="6" r:id="rId5"/>
    <sheet name="Data" sheetId="3" state="hidden" r:id="rId6"/>
  </sheets>
  <definedNames>
    <definedName name="_xlnm._FilterDatabase" localSheetId="3" hidden="1">Stage_2_Issue_Characterization!$A$11:$A$43</definedName>
    <definedName name="Geographies">Data!$B$6:$P$6</definedName>
    <definedName name="GeoLookup">OFFSET(Data!$B$6,0,0,1,COUNTA(Data!$6:$6)-1)</definedName>
    <definedName name="S1comp">Stage_1_Issue_Identification!$D$11:$F$11</definedName>
    <definedName name="S2comp">Stage_2_Issue_Characterization!$E$11:$G$11</definedName>
  </definedNames>
  <calcPr calcId="152511" forceFullCalc="1"/>
</workbook>
</file>

<file path=xl/calcChain.xml><?xml version="1.0" encoding="utf-8"?>
<calcChain xmlns="http://schemas.openxmlformats.org/spreadsheetml/2006/main">
  <c r="B162" i="3" l="1"/>
  <c r="B161" i="3"/>
  <c r="B158" i="3"/>
  <c r="B157" i="3"/>
  <c r="B154" i="3"/>
  <c r="B153" i="3"/>
  <c r="B150" i="3"/>
  <c r="B149" i="3"/>
  <c r="B145" i="3"/>
  <c r="B144" i="3"/>
  <c r="B143" i="3"/>
  <c r="B142" i="3"/>
  <c r="B141" i="3"/>
  <c r="B139" i="3"/>
  <c r="B138" i="3"/>
  <c r="B137" i="3"/>
  <c r="B136" i="3"/>
  <c r="B135" i="3"/>
  <c r="B133" i="3"/>
  <c r="B67" i="3"/>
  <c r="B66" i="3"/>
  <c r="B65" i="3"/>
  <c r="B64" i="3"/>
  <c r="B63" i="3"/>
  <c r="B60" i="3"/>
  <c r="B59" i="3"/>
  <c r="B58" i="3"/>
  <c r="B57" i="3"/>
  <c r="B56" i="3"/>
  <c r="B54" i="3"/>
  <c r="D11" i="5" l="1"/>
  <c r="C7" i="5" l="1"/>
  <c r="D60" i="3" l="1"/>
  <c r="J57" i="1" l="1"/>
  <c r="I57" i="1"/>
  <c r="H57" i="1"/>
  <c r="G57" i="1"/>
  <c r="G49" i="1"/>
  <c r="H49" i="1"/>
  <c r="I49" i="1"/>
  <c r="J49" i="1"/>
  <c r="G50" i="1"/>
  <c r="H50" i="1"/>
  <c r="I50" i="1"/>
  <c r="J50" i="1"/>
  <c r="G51" i="1"/>
  <c r="H51" i="1"/>
  <c r="I51" i="1"/>
  <c r="J51" i="1"/>
  <c r="G52" i="1"/>
  <c r="H52" i="1"/>
  <c r="I52" i="1"/>
  <c r="J52" i="1"/>
  <c r="G55" i="1"/>
  <c r="H55" i="1"/>
  <c r="I55" i="1"/>
  <c r="J55" i="1"/>
  <c r="G56" i="1"/>
  <c r="H56" i="1"/>
  <c r="I56" i="1"/>
  <c r="J56" i="1"/>
  <c r="J48" i="1"/>
  <c r="I48" i="1"/>
  <c r="H48" i="1"/>
  <c r="G48" i="1"/>
  <c r="J36" i="1"/>
  <c r="J35" i="1"/>
  <c r="J34" i="1"/>
  <c r="J33" i="1"/>
  <c r="J32" i="1"/>
  <c r="J31" i="1"/>
  <c r="J30" i="1"/>
  <c r="J37" i="1"/>
  <c r="I37" i="1"/>
  <c r="I32" i="1"/>
  <c r="I33" i="1"/>
  <c r="I34" i="1"/>
  <c r="I35" i="1"/>
  <c r="I36" i="1"/>
  <c r="I31" i="1"/>
  <c r="I30" i="1"/>
  <c r="G37" i="1"/>
  <c r="G36" i="1"/>
  <c r="G35" i="1"/>
  <c r="G34" i="1"/>
  <c r="G33" i="1"/>
  <c r="G31" i="1"/>
  <c r="H37" i="1"/>
  <c r="H36" i="1"/>
  <c r="H35" i="1"/>
  <c r="H34" i="1"/>
  <c r="H33" i="1"/>
  <c r="H32" i="1"/>
  <c r="H31" i="1"/>
  <c r="H30" i="1"/>
  <c r="G32" i="1"/>
  <c r="G30" i="1"/>
  <c r="C161" i="3" l="1"/>
  <c r="D161" i="3"/>
  <c r="E161" i="3"/>
  <c r="F161" i="3"/>
  <c r="G161" i="3"/>
  <c r="H161" i="3"/>
  <c r="I161" i="3"/>
  <c r="J161" i="3"/>
  <c r="K161" i="3"/>
  <c r="L161" i="3"/>
  <c r="M161" i="3"/>
  <c r="N161" i="3"/>
  <c r="O161" i="3"/>
  <c r="P161" i="3"/>
  <c r="C157" i="3"/>
  <c r="D157" i="3"/>
  <c r="E157" i="3"/>
  <c r="F157" i="3"/>
  <c r="G157" i="3"/>
  <c r="H157" i="3"/>
  <c r="I157" i="3"/>
  <c r="J157" i="3"/>
  <c r="K157" i="3"/>
  <c r="L157" i="3"/>
  <c r="M157" i="3"/>
  <c r="N157" i="3"/>
  <c r="O157" i="3"/>
  <c r="P157" i="3"/>
  <c r="C153" i="3"/>
  <c r="D153" i="3"/>
  <c r="E153" i="3"/>
  <c r="F153" i="3"/>
  <c r="G153" i="3"/>
  <c r="H153" i="3"/>
  <c r="I153" i="3"/>
  <c r="J153" i="3"/>
  <c r="K153" i="3"/>
  <c r="L153" i="3"/>
  <c r="M153" i="3"/>
  <c r="N153" i="3"/>
  <c r="O153" i="3"/>
  <c r="P153" i="3"/>
  <c r="C149" i="3"/>
  <c r="D149" i="3"/>
  <c r="E149" i="3"/>
  <c r="F149" i="3"/>
  <c r="G149" i="3"/>
  <c r="H149" i="3"/>
  <c r="I149" i="3"/>
  <c r="J149" i="3"/>
  <c r="K149" i="3"/>
  <c r="L149" i="3"/>
  <c r="M149" i="3"/>
  <c r="N149" i="3"/>
  <c r="O149" i="3"/>
  <c r="P149" i="3"/>
  <c r="E60" i="3" l="1"/>
  <c r="F60" i="3"/>
  <c r="G60" i="3"/>
  <c r="H60" i="3"/>
  <c r="I60" i="3"/>
  <c r="J60" i="3"/>
  <c r="K60" i="3"/>
  <c r="L60" i="3"/>
  <c r="M60" i="3"/>
  <c r="N60" i="3"/>
  <c r="O60" i="3"/>
  <c r="P60" i="3"/>
  <c r="C60" i="3"/>
  <c r="C65" i="3"/>
  <c r="D65" i="3"/>
  <c r="E65" i="3"/>
  <c r="F65" i="3"/>
  <c r="G65" i="3"/>
  <c r="H65" i="3"/>
  <c r="I65" i="3"/>
  <c r="J65" i="3"/>
  <c r="K65" i="3"/>
  <c r="L65" i="3"/>
  <c r="M65" i="3"/>
  <c r="N65" i="3"/>
  <c r="O65" i="3"/>
  <c r="P65" i="3"/>
  <c r="C66" i="3"/>
  <c r="D66" i="3"/>
  <c r="E66" i="3"/>
  <c r="F66" i="3"/>
  <c r="G66" i="3"/>
  <c r="H66" i="3"/>
  <c r="I66" i="3"/>
  <c r="J66" i="3"/>
  <c r="K66" i="3"/>
  <c r="L66" i="3"/>
  <c r="M66" i="3"/>
  <c r="N66" i="3"/>
  <c r="O66" i="3"/>
  <c r="P66" i="3"/>
  <c r="C67" i="3"/>
  <c r="D67" i="3"/>
  <c r="E67" i="3"/>
  <c r="F67" i="3"/>
  <c r="G67" i="3"/>
  <c r="H67" i="3"/>
  <c r="I67" i="3"/>
  <c r="J67" i="3"/>
  <c r="K67" i="3"/>
  <c r="L67" i="3"/>
  <c r="M67" i="3"/>
  <c r="N67" i="3"/>
  <c r="O67" i="3"/>
  <c r="P67" i="3"/>
  <c r="C54" i="3" l="1"/>
  <c r="D54" i="3"/>
  <c r="E54" i="3"/>
  <c r="F54" i="3"/>
  <c r="G54" i="3"/>
  <c r="H54" i="3"/>
  <c r="I54" i="3"/>
  <c r="J54" i="3"/>
  <c r="K54" i="3"/>
  <c r="L54" i="3"/>
  <c r="M54" i="3"/>
  <c r="N54" i="3"/>
  <c r="O54" i="3"/>
  <c r="P54" i="3"/>
  <c r="B163" i="3" l="1"/>
  <c r="B164" i="3"/>
  <c r="B159" i="3"/>
  <c r="B155" i="3"/>
  <c r="B151" i="3"/>
  <c r="C163" i="3"/>
  <c r="K163" i="3"/>
  <c r="I164" i="3"/>
  <c r="D163" i="3"/>
  <c r="H163" i="3"/>
  <c r="L163" i="3"/>
  <c r="P163" i="3"/>
  <c r="F164" i="3"/>
  <c r="J164" i="3"/>
  <c r="N164" i="3"/>
  <c r="E163" i="3"/>
  <c r="I163" i="3"/>
  <c r="M163" i="3"/>
  <c r="C164" i="3"/>
  <c r="G164" i="3"/>
  <c r="K164" i="3"/>
  <c r="O164" i="3"/>
  <c r="F163" i="3"/>
  <c r="J163" i="3"/>
  <c r="N163" i="3"/>
  <c r="D164" i="3"/>
  <c r="H164" i="3"/>
  <c r="L164" i="3"/>
  <c r="P164" i="3"/>
  <c r="G163" i="3"/>
  <c r="O163" i="3"/>
  <c r="E164" i="3"/>
  <c r="M164" i="3"/>
  <c r="C159" i="3"/>
  <c r="G159" i="3"/>
  <c r="K159" i="3"/>
  <c r="O159" i="3"/>
  <c r="H159" i="3"/>
  <c r="E159" i="3"/>
  <c r="M159" i="3"/>
  <c r="F159" i="3"/>
  <c r="J159" i="3"/>
  <c r="N159" i="3"/>
  <c r="D159" i="3"/>
  <c r="L159" i="3"/>
  <c r="P159" i="3"/>
  <c r="I159" i="3"/>
  <c r="C155" i="3"/>
  <c r="G155" i="3"/>
  <c r="K155" i="3"/>
  <c r="O155" i="3"/>
  <c r="H155" i="3"/>
  <c r="P155" i="3"/>
  <c r="I155" i="3"/>
  <c r="F155" i="3"/>
  <c r="J155" i="3"/>
  <c r="N155" i="3"/>
  <c r="D155" i="3"/>
  <c r="L155" i="3"/>
  <c r="E155" i="3"/>
  <c r="M155" i="3"/>
  <c r="C151" i="3"/>
  <c r="G151" i="3"/>
  <c r="K151" i="3"/>
  <c r="O151" i="3"/>
  <c r="D151" i="3"/>
  <c r="L151" i="3"/>
  <c r="E151" i="3"/>
  <c r="M151" i="3"/>
  <c r="F151" i="3"/>
  <c r="J151" i="3"/>
  <c r="N151" i="3"/>
  <c r="H151" i="3"/>
  <c r="P151" i="3"/>
  <c r="I151" i="3"/>
  <c r="F23" i="2"/>
  <c r="F24" i="2"/>
  <c r="F22" i="2"/>
  <c r="E23" i="2"/>
  <c r="E24" i="2"/>
  <c r="E22" i="2"/>
  <c r="D24" i="2"/>
  <c r="D22" i="2"/>
  <c r="D23" i="2"/>
  <c r="C56" i="3"/>
  <c r="D56" i="3"/>
  <c r="E56" i="3"/>
  <c r="F56" i="3"/>
  <c r="G56" i="3"/>
  <c r="H56" i="3"/>
  <c r="I56" i="3"/>
  <c r="J56" i="3"/>
  <c r="K56" i="3"/>
  <c r="L56" i="3"/>
  <c r="M56" i="3"/>
  <c r="N56" i="3"/>
  <c r="O56" i="3"/>
  <c r="P56" i="3"/>
  <c r="C57" i="3"/>
  <c r="D57" i="3"/>
  <c r="E57" i="3"/>
  <c r="F57" i="3"/>
  <c r="G57" i="3"/>
  <c r="H57" i="3"/>
  <c r="I57" i="3"/>
  <c r="J57" i="3"/>
  <c r="K57" i="3"/>
  <c r="L57" i="3"/>
  <c r="M57" i="3"/>
  <c r="N57" i="3"/>
  <c r="O57" i="3"/>
  <c r="P57" i="3"/>
  <c r="F13" i="2" l="1"/>
  <c r="F14" i="2"/>
  <c r="E14" i="2"/>
  <c r="E13" i="2"/>
  <c r="D13" i="2"/>
  <c r="D14" i="2"/>
  <c r="C150" i="3"/>
  <c r="D150" i="3"/>
  <c r="E150" i="3"/>
  <c r="F150" i="3"/>
  <c r="G150" i="3"/>
  <c r="H150" i="3"/>
  <c r="I150" i="3"/>
  <c r="J150" i="3"/>
  <c r="K150" i="3"/>
  <c r="L150" i="3"/>
  <c r="M150" i="3"/>
  <c r="N150" i="3"/>
  <c r="O150" i="3"/>
  <c r="P150" i="3"/>
  <c r="C154" i="3"/>
  <c r="D154" i="3"/>
  <c r="E154" i="3"/>
  <c r="F154" i="3"/>
  <c r="G154" i="3"/>
  <c r="H154" i="3"/>
  <c r="I154" i="3"/>
  <c r="J154" i="3"/>
  <c r="K154" i="3"/>
  <c r="L154" i="3"/>
  <c r="M154" i="3"/>
  <c r="N154" i="3"/>
  <c r="O154" i="3"/>
  <c r="P154" i="3"/>
  <c r="C158" i="3"/>
  <c r="D158" i="3"/>
  <c r="E158" i="3"/>
  <c r="F158" i="3"/>
  <c r="G158" i="3"/>
  <c r="H158" i="3"/>
  <c r="I158" i="3"/>
  <c r="J158" i="3"/>
  <c r="K158" i="3"/>
  <c r="L158" i="3"/>
  <c r="M158" i="3"/>
  <c r="N158" i="3"/>
  <c r="O158" i="3"/>
  <c r="P158" i="3"/>
  <c r="C162" i="3"/>
  <c r="D162" i="3"/>
  <c r="E162" i="3"/>
  <c r="F162" i="3"/>
  <c r="G162" i="3"/>
  <c r="H162" i="3"/>
  <c r="I162" i="3"/>
  <c r="J162" i="3"/>
  <c r="K162" i="3"/>
  <c r="L162" i="3"/>
  <c r="M162" i="3"/>
  <c r="N162" i="3"/>
  <c r="O162" i="3"/>
  <c r="P162" i="3"/>
  <c r="C135" i="3"/>
  <c r="D135" i="3"/>
  <c r="E135" i="3"/>
  <c r="F135" i="3"/>
  <c r="G135" i="3"/>
  <c r="H135" i="3"/>
  <c r="I135" i="3"/>
  <c r="J135" i="3"/>
  <c r="K135" i="3"/>
  <c r="L135" i="3"/>
  <c r="M135" i="3"/>
  <c r="N135" i="3"/>
  <c r="O135" i="3"/>
  <c r="P135" i="3"/>
  <c r="C136" i="3"/>
  <c r="D136" i="3"/>
  <c r="E136" i="3"/>
  <c r="F136" i="3"/>
  <c r="G136" i="3"/>
  <c r="H136" i="3"/>
  <c r="I136" i="3"/>
  <c r="J136" i="3"/>
  <c r="K136" i="3"/>
  <c r="L136" i="3"/>
  <c r="M136" i="3"/>
  <c r="N136" i="3"/>
  <c r="O136" i="3"/>
  <c r="P136" i="3"/>
  <c r="C137" i="3"/>
  <c r="D137" i="3"/>
  <c r="E137" i="3"/>
  <c r="F137" i="3"/>
  <c r="G137" i="3"/>
  <c r="H137" i="3"/>
  <c r="I137" i="3"/>
  <c r="J137" i="3"/>
  <c r="K137" i="3"/>
  <c r="L137" i="3"/>
  <c r="M137" i="3"/>
  <c r="N137" i="3"/>
  <c r="O137" i="3"/>
  <c r="P137" i="3"/>
  <c r="C138" i="3"/>
  <c r="D138" i="3"/>
  <c r="E138" i="3"/>
  <c r="F138" i="3"/>
  <c r="G138" i="3"/>
  <c r="H138" i="3"/>
  <c r="I138" i="3"/>
  <c r="J138" i="3"/>
  <c r="K138" i="3"/>
  <c r="L138" i="3"/>
  <c r="M138" i="3"/>
  <c r="N138" i="3"/>
  <c r="O138" i="3"/>
  <c r="P138" i="3"/>
  <c r="C139" i="3"/>
  <c r="D139" i="3"/>
  <c r="E139" i="3"/>
  <c r="F139" i="3"/>
  <c r="G139" i="3"/>
  <c r="H139" i="3"/>
  <c r="I139" i="3"/>
  <c r="J139" i="3"/>
  <c r="K139" i="3"/>
  <c r="L139" i="3"/>
  <c r="M139" i="3"/>
  <c r="N139" i="3"/>
  <c r="O139" i="3"/>
  <c r="P139" i="3"/>
  <c r="C141" i="3"/>
  <c r="D141" i="3"/>
  <c r="E141" i="3"/>
  <c r="F141" i="3"/>
  <c r="G141" i="3"/>
  <c r="H141" i="3"/>
  <c r="I141" i="3"/>
  <c r="J141" i="3"/>
  <c r="K141" i="3"/>
  <c r="L141" i="3"/>
  <c r="M141" i="3"/>
  <c r="N141" i="3"/>
  <c r="O141" i="3"/>
  <c r="P141" i="3"/>
  <c r="C142" i="3"/>
  <c r="D142" i="3"/>
  <c r="E142" i="3"/>
  <c r="F142" i="3"/>
  <c r="G142" i="3"/>
  <c r="H142" i="3"/>
  <c r="I142" i="3"/>
  <c r="J142" i="3"/>
  <c r="K142" i="3"/>
  <c r="L142" i="3"/>
  <c r="M142" i="3"/>
  <c r="N142" i="3"/>
  <c r="O142" i="3"/>
  <c r="P142" i="3"/>
  <c r="C143" i="3"/>
  <c r="D143" i="3"/>
  <c r="E143" i="3"/>
  <c r="F143" i="3"/>
  <c r="G143" i="3"/>
  <c r="H143" i="3"/>
  <c r="I143" i="3"/>
  <c r="J143" i="3"/>
  <c r="K143" i="3"/>
  <c r="L143" i="3"/>
  <c r="M143" i="3"/>
  <c r="N143" i="3"/>
  <c r="O143" i="3"/>
  <c r="P143" i="3"/>
  <c r="C144" i="3"/>
  <c r="D144" i="3"/>
  <c r="E144" i="3"/>
  <c r="F144" i="3"/>
  <c r="G144" i="3"/>
  <c r="H144" i="3"/>
  <c r="I144" i="3"/>
  <c r="J144" i="3"/>
  <c r="K144" i="3"/>
  <c r="L144" i="3"/>
  <c r="M144" i="3"/>
  <c r="N144" i="3"/>
  <c r="O144" i="3"/>
  <c r="P144" i="3"/>
  <c r="C145" i="3"/>
  <c r="D145" i="3"/>
  <c r="E145" i="3"/>
  <c r="F145" i="3"/>
  <c r="G145" i="3"/>
  <c r="H145" i="3"/>
  <c r="I145" i="3"/>
  <c r="J145" i="3"/>
  <c r="K145" i="3"/>
  <c r="L145" i="3"/>
  <c r="M145" i="3"/>
  <c r="N145" i="3"/>
  <c r="O145" i="3"/>
  <c r="P145" i="3"/>
  <c r="C58" i="3" l="1"/>
  <c r="D58" i="3"/>
  <c r="E58" i="3"/>
  <c r="F58" i="3"/>
  <c r="G58" i="3"/>
  <c r="H58" i="3"/>
  <c r="I58" i="3"/>
  <c r="J58" i="3"/>
  <c r="K58" i="3"/>
  <c r="L58" i="3"/>
  <c r="M58" i="3"/>
  <c r="N58" i="3"/>
  <c r="O58" i="3"/>
  <c r="P58" i="3"/>
  <c r="C59" i="3"/>
  <c r="D59" i="3"/>
  <c r="E59" i="3"/>
  <c r="F59" i="3"/>
  <c r="G59" i="3"/>
  <c r="H59" i="3"/>
  <c r="I59" i="3"/>
  <c r="J59" i="3"/>
  <c r="K59" i="3"/>
  <c r="L59" i="3"/>
  <c r="M59" i="3"/>
  <c r="N59" i="3"/>
  <c r="O59" i="3"/>
  <c r="P59" i="3"/>
  <c r="F17" i="2"/>
  <c r="E17" i="2"/>
  <c r="C63" i="3"/>
  <c r="D63" i="3"/>
  <c r="E63" i="3"/>
  <c r="F63" i="3"/>
  <c r="G63" i="3"/>
  <c r="H63" i="3"/>
  <c r="I63" i="3"/>
  <c r="J63" i="3"/>
  <c r="K63" i="3"/>
  <c r="L63" i="3"/>
  <c r="M63" i="3"/>
  <c r="N63" i="3"/>
  <c r="O63" i="3"/>
  <c r="P63" i="3"/>
  <c r="C64" i="3"/>
  <c r="D64" i="3"/>
  <c r="E64" i="3"/>
  <c r="F64" i="3"/>
  <c r="G64" i="3"/>
  <c r="H64" i="3"/>
  <c r="I64" i="3"/>
  <c r="J64" i="3"/>
  <c r="K64" i="3"/>
  <c r="L64" i="3"/>
  <c r="M64" i="3"/>
  <c r="N64" i="3"/>
  <c r="O64" i="3"/>
  <c r="P64" i="3"/>
  <c r="E20" i="2" l="1"/>
  <c r="E16" i="2"/>
  <c r="F21" i="2"/>
  <c r="F15" i="2"/>
  <c r="F20" i="2"/>
  <c r="F16" i="2"/>
  <c r="E21" i="2"/>
  <c r="E15" i="2"/>
  <c r="D21" i="2"/>
  <c r="D17" i="2"/>
  <c r="D15" i="2"/>
  <c r="D20" i="2"/>
  <c r="D16" i="2"/>
  <c r="A7" i="6"/>
  <c r="G17" i="6" l="1"/>
  <c r="D17" i="6"/>
  <c r="M133" i="3"/>
  <c r="N133" i="3"/>
  <c r="O133" i="3"/>
  <c r="P133" i="3"/>
  <c r="C133" i="3"/>
  <c r="D133" i="3"/>
  <c r="E133" i="3"/>
  <c r="F133" i="3"/>
  <c r="G133" i="3"/>
  <c r="H133" i="3"/>
  <c r="I133" i="3"/>
  <c r="J133" i="3"/>
  <c r="K133" i="3"/>
  <c r="L133" i="3"/>
  <c r="G43" i="5" l="1"/>
  <c r="E43" i="5"/>
  <c r="F43" i="5"/>
  <c r="D43" i="5"/>
  <c r="G42" i="5"/>
  <c r="E42" i="5"/>
  <c r="F42" i="5"/>
  <c r="D42" i="5"/>
  <c r="D16" i="6"/>
  <c r="G16" i="6"/>
  <c r="G15" i="6"/>
  <c r="G13" i="6"/>
  <c r="G14" i="6"/>
  <c r="D15" i="6"/>
  <c r="D14" i="6"/>
  <c r="D13" i="6"/>
  <c r="G12" i="6"/>
  <c r="D12" i="6"/>
  <c r="G11" i="6"/>
  <c r="D11" i="6"/>
  <c r="F40" i="5"/>
  <c r="G40" i="5"/>
  <c r="D40" i="5"/>
  <c r="E40" i="5"/>
  <c r="G36" i="5"/>
  <c r="D41" i="5"/>
  <c r="F36" i="5"/>
  <c r="D36" i="5"/>
  <c r="E36" i="5"/>
  <c r="D37" i="5"/>
  <c r="F32" i="5"/>
  <c r="G32" i="5"/>
  <c r="D32" i="5"/>
  <c r="E32" i="5"/>
  <c r="D33" i="5"/>
  <c r="G28" i="5"/>
  <c r="F28" i="5"/>
  <c r="D28" i="5"/>
  <c r="E28" i="5"/>
  <c r="D29" i="5"/>
  <c r="F14" i="5"/>
  <c r="G14" i="5"/>
  <c r="E14" i="5"/>
  <c r="G21" i="5"/>
  <c r="G29" i="5"/>
  <c r="F34" i="5"/>
  <c r="G24" i="5"/>
  <c r="G34" i="5"/>
  <c r="F41" i="5"/>
  <c r="F17" i="5"/>
  <c r="E21" i="5"/>
  <c r="G23" i="5"/>
  <c r="F30" i="5"/>
  <c r="E37" i="5"/>
  <c r="G41" i="5"/>
  <c r="E15" i="5"/>
  <c r="F16" i="5"/>
  <c r="G17" i="5"/>
  <c r="E20" i="5"/>
  <c r="F21" i="5"/>
  <c r="G22" i="5"/>
  <c r="E24" i="5"/>
  <c r="F29" i="5"/>
  <c r="G30" i="5"/>
  <c r="E34" i="5"/>
  <c r="F37" i="5"/>
  <c r="G38" i="5"/>
  <c r="F15" i="5"/>
  <c r="G16" i="5"/>
  <c r="E18" i="5"/>
  <c r="F20" i="5"/>
  <c r="E23" i="5"/>
  <c r="F24" i="5"/>
  <c r="E33" i="5"/>
  <c r="G37" i="5"/>
  <c r="E41" i="5"/>
  <c r="G15" i="5"/>
  <c r="E17" i="5"/>
  <c r="F18" i="5"/>
  <c r="G20" i="5"/>
  <c r="E22" i="5"/>
  <c r="F23" i="5"/>
  <c r="E30" i="5"/>
  <c r="F33" i="5"/>
  <c r="E38" i="5"/>
  <c r="E16" i="5"/>
  <c r="G18" i="5"/>
  <c r="F22" i="5"/>
  <c r="E29" i="5"/>
  <c r="G33" i="5"/>
  <c r="F38" i="5"/>
  <c r="D38" i="5"/>
  <c r="D34" i="5"/>
  <c r="D30" i="5"/>
  <c r="D24" i="5"/>
  <c r="D22" i="5"/>
  <c r="D23" i="5"/>
  <c r="D20" i="5"/>
  <c r="D21" i="5"/>
  <c r="D17" i="5"/>
  <c r="D18" i="5"/>
  <c r="D15" i="5"/>
  <c r="D16" i="5"/>
  <c r="D14" i="5"/>
  <c r="C42" i="5" l="1"/>
  <c r="C43" i="5"/>
  <c r="C36" i="5"/>
  <c r="C40" i="5"/>
  <c r="C28" i="5"/>
  <c r="C32" i="5"/>
  <c r="C37" i="5"/>
  <c r="C30" i="5"/>
  <c r="C16" i="5"/>
  <c r="C29" i="5"/>
  <c r="C38" i="5"/>
  <c r="C41" i="5"/>
  <c r="C34" i="5"/>
  <c r="C33" i="5"/>
  <c r="C24" i="5"/>
  <c r="C23" i="5"/>
  <c r="C14" i="5"/>
  <c r="C22" i="5"/>
  <c r="C21" i="5"/>
  <c r="C20" i="5"/>
  <c r="C18" i="5"/>
  <c r="C15" i="5"/>
  <c r="C17" i="5"/>
  <c r="C11" i="2"/>
  <c r="C23" i="2" l="1"/>
  <c r="B23" i="2" s="1"/>
  <c r="C24" i="2"/>
  <c r="B24" i="2" s="1"/>
  <c r="C21" i="2"/>
  <c r="B21" i="2" s="1"/>
  <c r="C22" i="2"/>
  <c r="B22" i="2" s="1"/>
  <c r="C20" i="2"/>
  <c r="B20" i="2" s="1"/>
  <c r="C16" i="2"/>
  <c r="C17" i="2"/>
  <c r="B17" i="2" s="1"/>
  <c r="C14" i="2"/>
  <c r="B14" i="2" s="1"/>
  <c r="C15" i="2"/>
  <c r="C13" i="2"/>
  <c r="B13" i="2" s="1"/>
  <c r="B7" i="2"/>
</calcChain>
</file>

<file path=xl/sharedStrings.xml><?xml version="1.0" encoding="utf-8"?>
<sst xmlns="http://schemas.openxmlformats.org/spreadsheetml/2006/main" count="370" uniqueCount="199">
  <si>
    <t>Stage 1 - Raw Data</t>
  </si>
  <si>
    <t>Filename</t>
  </si>
  <si>
    <t>Geography</t>
  </si>
  <si>
    <t>NATION</t>
  </si>
  <si>
    <t>Basic Issue Identification</t>
  </si>
  <si>
    <t>Target:</t>
  </si>
  <si>
    <t>Reference:</t>
  </si>
  <si>
    <t>Define Comparison:</t>
  </si>
  <si>
    <t>Result</t>
  </si>
  <si>
    <t>KEY</t>
  </si>
  <si>
    <t>Higher</t>
  </si>
  <si>
    <t>Lower</t>
  </si>
  <si>
    <t>Much Higher</t>
  </si>
  <si>
    <t>Stage 1:</t>
  </si>
  <si>
    <t>http://www.hud.gov/offices/cpd/about/conplan/cp_training_ta.cfm</t>
  </si>
  <si>
    <t>Target Jurisdiction:</t>
  </si>
  <si>
    <t>ADVANCED CONTROLS</t>
  </si>
  <si>
    <t>Stage 1 Issue Identification Criteria</t>
  </si>
  <si>
    <t>(difference)</t>
  </si>
  <si>
    <t>Type</t>
  </si>
  <si>
    <t>Variable</t>
  </si>
  <si>
    <t>Stage 2 - Raw Data</t>
  </si>
  <si>
    <t>Stage 2:</t>
  </si>
  <si>
    <t>Median Hh Income</t>
  </si>
  <si>
    <t>n/a</t>
  </si>
  <si>
    <t>Demographic!F18</t>
  </si>
  <si>
    <t>Stage 3:</t>
  </si>
  <si>
    <t>Issue Location</t>
  </si>
  <si>
    <t>Issue</t>
  </si>
  <si>
    <t>Query on</t>
  </si>
  <si>
    <t>Recommended Threshold</t>
  </si>
  <si>
    <t>Secondary Threshold</t>
  </si>
  <si>
    <t>Jurisdiction:</t>
  </si>
  <si>
    <t>Higher than</t>
  </si>
  <si>
    <t>Lower than</t>
  </si>
  <si>
    <t>Stage 2 Issue Characterization Criteria</t>
  </si>
  <si>
    <t>Variable/Group</t>
  </si>
  <si>
    <t>Population</t>
  </si>
  <si>
    <t>Average Commute Time</t>
  </si>
  <si>
    <t>HS equivalent or less</t>
  </si>
  <si>
    <t>Some college</t>
  </si>
  <si>
    <t>BA/BS or more</t>
  </si>
  <si>
    <t>General Indicators</t>
  </si>
  <si>
    <t>Unemployent Rate</t>
  </si>
  <si>
    <t>Labor Force as % of Total Population</t>
  </si>
  <si>
    <t>Age and Education</t>
  </si>
  <si>
    <t>Population Age 18-24</t>
  </si>
  <si>
    <t>Population Age 25-64</t>
  </si>
  <si>
    <t>Ages 18-24 - Population</t>
  </si>
  <si>
    <t xml:space="preserve">          Unemployment Rate*</t>
  </si>
  <si>
    <t xml:space="preserve">          Less than HS</t>
  </si>
  <si>
    <t xml:space="preserve">          HS equivalent</t>
  </si>
  <si>
    <t xml:space="preserve">          Some College</t>
  </si>
  <si>
    <t xml:space="preserve">          Bachelor's or higher</t>
  </si>
  <si>
    <t>Ages 25-64 - Population</t>
  </si>
  <si>
    <t xml:space="preserve">          Unemployment Rate</t>
  </si>
  <si>
    <t>Characteristics by Age Group</t>
  </si>
  <si>
    <t>Less than HS - Population</t>
  </si>
  <si>
    <t xml:space="preserve">     Percent in Labor Force</t>
  </si>
  <si>
    <t xml:space="preserve">     Unemployment Rate</t>
  </si>
  <si>
    <t xml:space="preserve">     Median Earnings</t>
  </si>
  <si>
    <t>HS or equivalent - Population</t>
  </si>
  <si>
    <t>Some College - Population</t>
  </si>
  <si>
    <t>BA/BS or more - Population</t>
  </si>
  <si>
    <t>Characteristics by Education</t>
  </si>
  <si>
    <t>Civilian Labor Force as % of Total Population</t>
  </si>
  <si>
    <t>AGE</t>
  </si>
  <si>
    <t>EDUCATION</t>
  </si>
  <si>
    <t>% unemployed with less than HS</t>
  </si>
  <si>
    <t>% unemployed with HS or equiv.</t>
  </si>
  <si>
    <t>% unemployed with some college</t>
  </si>
  <si>
    <t>% unemployed with BA/BS or more</t>
  </si>
  <si>
    <t>Demographic!F12</t>
  </si>
  <si>
    <t>Demographic!F49</t>
  </si>
  <si>
    <t>Demographic!F50</t>
  </si>
  <si>
    <t>Economic Context!F12</t>
  </si>
  <si>
    <t>Economic Context!F14</t>
  </si>
  <si>
    <t>Economic Context!D68</t>
  </si>
  <si>
    <t>Economic Context!D69</t>
  </si>
  <si>
    <t>Economic Context!D70</t>
  </si>
  <si>
    <t>Economic Context!D71</t>
  </si>
  <si>
    <t>Economic Context!E68</t>
  </si>
  <si>
    <t>Economic Context!E69</t>
  </si>
  <si>
    <t>Economic Context!E70</t>
  </si>
  <si>
    <t>Economic Context!E71</t>
  </si>
  <si>
    <t>Economic Context!F68</t>
  </si>
  <si>
    <t>Economic Context!F69</t>
  </si>
  <si>
    <t>Economic Context!F70</t>
  </si>
  <si>
    <t>Economic Context!F71</t>
  </si>
  <si>
    <t>Economic Context!F15</t>
  </si>
  <si>
    <t>Age</t>
  </si>
  <si>
    <t>Economic Context!F20</t>
  </si>
  <si>
    <t>Economic Context!F21</t>
  </si>
  <si>
    <t>Economic Context!B45</t>
  </si>
  <si>
    <t>Economic Context!B46</t>
  </si>
  <si>
    <t>Economic Context!B47</t>
  </si>
  <si>
    <t>Economic Context!B48</t>
  </si>
  <si>
    <t>Economic Context!B49</t>
  </si>
  <si>
    <t>Economic Context!B50</t>
  </si>
  <si>
    <t>Economic Context!B51</t>
  </si>
  <si>
    <t>Economic Context!C45</t>
  </si>
  <si>
    <t>Economic Context!C46</t>
  </si>
  <si>
    <t>Economic Context!C47</t>
  </si>
  <si>
    <t>Economic Context!C48</t>
  </si>
  <si>
    <t>Economic Context!C49</t>
  </si>
  <si>
    <t>Economic Context!C50</t>
  </si>
  <si>
    <t>Economic Context!C51</t>
  </si>
  <si>
    <t>Economic Context!D45</t>
  </si>
  <si>
    <t>Economic Context!D46</t>
  </si>
  <si>
    <t>Economic Context!D47</t>
  </si>
  <si>
    <t>Economic Context!D48</t>
  </si>
  <si>
    <t>Economic Context!D49</t>
  </si>
  <si>
    <t>Economic Context!D50</t>
  </si>
  <si>
    <t>Economic Context!D51</t>
  </si>
  <si>
    <t>Economic Context!E45</t>
  </si>
  <si>
    <t>Economic Context!E46</t>
  </si>
  <si>
    <t>Economic Context!E47</t>
  </si>
  <si>
    <t>Economic Context!E48</t>
  </si>
  <si>
    <t>Economic Context!E49</t>
  </si>
  <si>
    <t>Economic Context!E50</t>
  </si>
  <si>
    <t>Economic Context!E51</t>
  </si>
  <si>
    <t>Economic Context!F55</t>
  </si>
  <si>
    <t>Economic Context!F56</t>
  </si>
  <si>
    <t>Economic Context!F57</t>
  </si>
  <si>
    <t>Economic Context!F58</t>
  </si>
  <si>
    <t>Economic Context!F59</t>
  </si>
  <si>
    <t>Demographic!E49</t>
  </si>
  <si>
    <t>Demographic!E50</t>
  </si>
  <si>
    <t>Much Lower</t>
  </si>
  <si>
    <t>Age Variables</t>
  </si>
  <si>
    <t>Education Variables</t>
  </si>
  <si>
    <t>Average Commute Time (minutes)</t>
  </si>
  <si>
    <t>Economic Context!F45</t>
  </si>
  <si>
    <t>Economic Context!F46</t>
  </si>
  <si>
    <t>Economic Context!F47</t>
  </si>
  <si>
    <t>Economic Context!F48</t>
  </si>
  <si>
    <t>Economic Context!F49</t>
  </si>
  <si>
    <t>Economic Context!F50</t>
  </si>
  <si>
    <t>Economic Context!F51</t>
  </si>
  <si>
    <t>Demographic!E51</t>
  </si>
  <si>
    <t>Unemployment Rate</t>
  </si>
  <si>
    <t>Economic Development Module</t>
  </si>
  <si>
    <t>Data-Driven Planning Toolkit</t>
  </si>
  <si>
    <t>Resources associated with this Toolkit are available on HUD's Web site:</t>
  </si>
  <si>
    <t>Now that you have loaded data into the Economic Development Module and selected a Target Jurisdiction, continue on to the Stage 1 Issue Identification Tab.</t>
  </si>
  <si>
    <t>Less than HS</t>
  </si>
  <si>
    <t>HS equivalent</t>
  </si>
  <si>
    <t>Some College</t>
  </si>
  <si>
    <t>Percent in Labor Force</t>
  </si>
  <si>
    <t>Median Earnings</t>
  </si>
  <si>
    <t>The Data-Driven Planning Toolkit is designed to help grantees who want to make their Consolidated Plans more data-driven and place-based. The Toolkit will assist grantees in analyzing and interpreting data available through CPD Maps. Using the Toolkit is not required, and the analysis provided by the Toolkit is only one facet of a review of demographic and economic data sets. The planning process should also include consultation with local agencies, public outreach, and a housing market analysis.</t>
  </si>
  <si>
    <t>This Microsoft Excel workbook contains the Economic Development module of the Data-Driven Planning Toolkit. This workbook contains basic instructions, and users are encouraged to read and reference the accompanying Guidebook for detailed instructions and examples. To begin using the Economic Development module, click on the Control_Panel tab and follow the instructions to import data from reports generated by CPD Maps.</t>
  </si>
  <si>
    <t>Welcome to the Economic Development Module of the Data-Driven Planning Toolkit. Below are basic instructions on loading data into the Economic Development Module and setting the target jurisdiction, as well as an advanced panel where you can adjust the criteria used to help identify and characterize issues. More detailed instructions and multiple examples are included in the accompanying Guidebook, available at http://www.hud.gov/offices/cpd/about/conplan/cp_training_ta.cfm.</t>
  </si>
  <si>
    <r>
      <t xml:space="preserve">This is the </t>
    </r>
    <r>
      <rPr>
        <b/>
        <i/>
        <sz val="11"/>
        <color theme="1"/>
        <rFont val="Calibri"/>
        <family val="2"/>
        <scheme val="minor"/>
      </rPr>
      <t>target</t>
    </r>
    <r>
      <rPr>
        <sz val="11"/>
        <color theme="1"/>
        <rFont val="Calibri"/>
        <family val="2"/>
        <scheme val="minor"/>
      </rPr>
      <t xml:space="preserve"> jurisdiction for the comparisons in Stages 1 and 2 and the threshold calculations in Stage 3. Typically this is your jurisdiction. You can only select or change the target jurisdiction here on the Control Panel tab. You will select and change the </t>
    </r>
    <r>
      <rPr>
        <b/>
        <i/>
        <sz val="11"/>
        <color theme="1"/>
        <rFont val="Calibri"/>
        <family val="2"/>
        <scheme val="minor"/>
      </rPr>
      <t>comparison</t>
    </r>
    <r>
      <rPr>
        <sz val="11"/>
        <color theme="1"/>
        <rFont val="Calibri"/>
        <family val="2"/>
        <scheme val="minor"/>
      </rPr>
      <t xml:space="preserve"> jurisdictions directly in Stages 1 and 2 (select the jurisdictions to display in the table column headers and select the reference jurisdiction for calculating the results column in the olive box above the table). Click on the cell next to "Target Jurisdiction" to bring up a list of target jurisdiction choices.</t>
    </r>
  </si>
  <si>
    <t>There are two types of comparisons: ratio and difference. For ratios, the comparison is proportional (e.g., is the target twice the size of the comparison?). For differences, the comparison is absolute (e.g., how many percentage points difference is there between the target and the comparison?).</t>
  </si>
  <si>
    <r>
      <t>Population Age 18</t>
    </r>
    <r>
      <rPr>
        <sz val="11"/>
        <color theme="1"/>
        <rFont val="Calibri"/>
        <family val="2"/>
      </rPr>
      <t>–</t>
    </r>
    <r>
      <rPr>
        <sz val="11"/>
        <color theme="1"/>
        <rFont val="Calibri"/>
        <family val="2"/>
        <scheme val="minor"/>
      </rPr>
      <t>24</t>
    </r>
  </si>
  <si>
    <t>Population Age 25–64</t>
  </si>
  <si>
    <t>This stage examines CPD Maps data for the target jurisdiction compared to two other geographies (e.g., a similar jurisdiction and the state) and national statistics. This basic analysis allows the user to identify specific issues for analysis in Stages 2 and 3. The target jurisdiction is set on the Control Panel. You can choose the reference geography in the shaded box below. The reference geography is also shaded in the table. You can change the comparison jurisdictions by clicking on the table header and selecting from the list that appears.</t>
  </si>
  <si>
    <t xml:space="preserve">This stage examines more detailed CPD Maps data related to age groups and education for the target jurisdiction compared to two other geographies (e.g., a similar jurisdiction and the state) and national statistics. This allows the user to better characterize specific issues identified in Stage 1. </t>
  </si>
  <si>
    <t>Issue Characterization: Age and Education</t>
  </si>
  <si>
    <t>Ages 18–24: Population</t>
  </si>
  <si>
    <t>Ages 25–64: Population</t>
  </si>
  <si>
    <t>Less than HS: Population</t>
  </si>
  <si>
    <t>HS or equivalent: Population</t>
  </si>
  <si>
    <t>Some College: Population</t>
  </si>
  <si>
    <t>BA/BS or more: Population</t>
  </si>
  <si>
    <t>This stage links the analysis in Stages 1 and 2 back to CPD Maps by providing guidance on values to enter in the Map Query Widget. You can look at up to three variables in the Map Query Widget in CPD Maps, so you can use the Issue Identification and Characterization in the previous Stages to determine which variables to look at and use the thresholds in this Stage to see the areas or neighborhoods where the issue is concentrated.</t>
  </si>
  <si>
    <t>% age 16–24 unemployed</t>
  </si>
  <si>
    <t>% age 25–64 unemployed</t>
  </si>
  <si>
    <t xml:space="preserve">     Median Earnings Graduate/Professional Degree</t>
  </si>
  <si>
    <t xml:space="preserve">     Median Earnings Bachelor's Degree</t>
  </si>
  <si>
    <t>Median Earnings (Bachelor's Degree)</t>
  </si>
  <si>
    <t>Median Earnings (Graduate or Professional Degree)</t>
  </si>
  <si>
    <t>Active Values:</t>
  </si>
  <si>
    <t>Default</t>
  </si>
  <si>
    <t>Custom Values</t>
  </si>
  <si>
    <t>You can adjust the criteria used to determine whether the target jurisdiction is higher, much higher, lower, or much lower than the comparison jurisdiction. Enter custom criteria in the table to the right. You can toggle between your custom criteria and the default criteria by selecting the "active values" at the top of the table.</t>
  </si>
  <si>
    <t>Default Reference:</t>
  </si>
  <si>
    <t>Custom Reference:</t>
  </si>
  <si>
    <t>INCOME</t>
  </si>
  <si>
    <t xml:space="preserve">← Select Characteristics                          </t>
  </si>
  <si>
    <t>Denominator</t>
  </si>
  <si>
    <t xml:space="preserve">    * Unemployment for ages 16–24</t>
  </si>
  <si>
    <t>Median household income in the past 12 months</t>
  </si>
  <si>
    <t>Step 1: Select the Target Jurisdiction</t>
  </si>
  <si>
    <t>Step 2: Stage 1 Issue Identification</t>
  </si>
  <si>
    <t>Total population ages 16-24</t>
  </si>
  <si>
    <t>Total population ages 18-24</t>
  </si>
  <si>
    <t>Total population ages 25-64</t>
  </si>
  <si>
    <t>Population with less than HS, ages 25-64</t>
  </si>
  <si>
    <t>Population with less than HS, in the labor force, ages 25-64</t>
  </si>
  <si>
    <t>Population with HS or equivalent, ages 25-64</t>
  </si>
  <si>
    <t>Population with HS or equivalent, in the labor force, ages 25-64</t>
  </si>
  <si>
    <t>Population with some college, ages 25-64</t>
  </si>
  <si>
    <t>Population with some college, in the labor force, ages 25-64</t>
  </si>
  <si>
    <t>Population with BA/BS or more, ages 25-64</t>
  </si>
  <si>
    <t>Population with BA/BS or more, in the labor force, ages 25-64</t>
  </si>
  <si>
    <t>For Tract 30111000300</t>
  </si>
  <si>
    <t>Nation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</si>
</sst>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_);\(&quot;$&quot;#,##0\)"/>
    <numFmt numFmtId="44" formatCode="_(&quot;$&quot;* #,##0.00_);_(&quot;$&quot;* \(#,##0.00\);_(&quot;$&quot;* &quot;-&quot;??_);_(@_)"/>
    <numFmt numFmtId="43" formatCode="_(* #,##0.00_);_(* \(#,##0.00\);_(* &quot;-&quot;??_);_(@_)"/>
    <numFmt numFmtId="164" formatCode="_(* #,##0_);_(* \(#,##0\);_(* &quot;-&quot;??_);_(@_)"/>
    <numFmt numFmtId="165" formatCode="0.00&quot;%&quot;"/>
    <numFmt numFmtId="166" formatCode="0.0%"/>
    <numFmt numFmtId="167"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u/>
      <sz val="11"/>
      <color theme="1"/>
      <name val="Calibri"/>
      <family val="2"/>
      <scheme val="minor"/>
    </font>
    <font>
      <b/>
      <i/>
      <sz val="11"/>
      <color theme="1"/>
      <name val="Calibri"/>
      <family val="2"/>
      <scheme val="minor"/>
    </font>
    <font>
      <sz val="16"/>
      <color theme="1"/>
      <name val="Calibri"/>
      <family val="2"/>
      <scheme val="minor"/>
    </font>
    <font>
      <b/>
      <sz val="18"/>
      <color theme="1"/>
      <name val="Calibri"/>
      <family val="2"/>
      <scheme val="minor"/>
    </font>
    <font>
      <sz val="11"/>
      <color theme="1"/>
      <name val="Calibri"/>
      <family val="2"/>
    </font>
    <font>
      <sz val="11"/>
      <color theme="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D8B365"/>
        <bgColor indexed="64"/>
      </patternFill>
    </fill>
    <fill>
      <patternFill patternType="solid">
        <fgColor rgb="FF5AB4AC"/>
        <bgColor indexed="64"/>
      </patternFill>
    </fill>
    <fill>
      <patternFill patternType="solid">
        <fgColor rgb="FFC4720E"/>
        <bgColor indexed="64"/>
      </patternFill>
    </fill>
    <fill>
      <patternFill patternType="solid">
        <fgColor theme="6" tint="0.59999389629810485"/>
        <bgColor indexed="64"/>
      </patternFill>
    </fill>
    <fill>
      <patternFill patternType="solid">
        <fgColor rgb="FF8C82CD"/>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99">
    <xf numFmtId="0" fontId="0" fillId="0" borderId="0" xfId="0"/>
    <xf numFmtId="164" fontId="0" fillId="2" borderId="0" xfId="1" applyNumberFormat="1" applyFont="1" applyFill="1" applyAlignment="1" applyProtection="1">
      <alignment horizontal="right"/>
      <protection locked="0"/>
    </xf>
    <xf numFmtId="0" fontId="2" fillId="0" borderId="0" xfId="0" applyFont="1"/>
    <xf numFmtId="0" fontId="0" fillId="0" borderId="0" xfId="0" applyFont="1" applyAlignment="1">
      <alignment vertical="top" wrapText="1"/>
    </xf>
    <xf numFmtId="0" fontId="0" fillId="0" borderId="0" xfId="0" applyFont="1"/>
    <xf numFmtId="165" fontId="0" fillId="2" borderId="0" xfId="0" applyNumberFormat="1" applyFill="1" applyAlignment="1" applyProtection="1">
      <alignment horizontal="right"/>
      <protection locked="0"/>
    </xf>
    <xf numFmtId="165" fontId="0" fillId="0" borderId="0" xfId="0" applyNumberFormat="1" applyAlignment="1" applyProtection="1">
      <alignment horizontal="right"/>
      <protection locked="0"/>
    </xf>
    <xf numFmtId="164" fontId="0" fillId="0" borderId="0" xfId="1" applyNumberFormat="1" applyFont="1" applyAlignment="1" applyProtection="1">
      <alignment horizontal="right"/>
      <protection locked="0"/>
    </xf>
    <xf numFmtId="166" fontId="0" fillId="0" borderId="0" xfId="0" applyNumberFormat="1"/>
    <xf numFmtId="0" fontId="3" fillId="0" borderId="0" xfId="0" applyFont="1"/>
    <xf numFmtId="0" fontId="2" fillId="0" borderId="7" xfId="0" applyFont="1" applyBorder="1" applyAlignment="1">
      <alignment horizontal="center"/>
    </xf>
    <xf numFmtId="0" fontId="0" fillId="3" borderId="8" xfId="0" applyFill="1" applyBorder="1"/>
    <xf numFmtId="0" fontId="0" fillId="5" borderId="8" xfId="0" applyFill="1" applyBorder="1"/>
    <xf numFmtId="0" fontId="2" fillId="6" borderId="1" xfId="0" applyFont="1" applyFill="1" applyBorder="1"/>
    <xf numFmtId="0" fontId="2" fillId="6" borderId="2" xfId="0" applyFont="1" applyFill="1" applyBorder="1"/>
    <xf numFmtId="0" fontId="2" fillId="6" borderId="3" xfId="0" applyFont="1" applyFill="1" applyBorder="1"/>
    <xf numFmtId="9" fontId="0" fillId="0" borderId="0" xfId="0" applyNumberFormat="1"/>
    <xf numFmtId="0" fontId="0" fillId="0" borderId="0" xfId="0" applyAlignment="1"/>
    <xf numFmtId="0" fontId="2" fillId="0" borderId="0" xfId="0" applyFont="1" applyAlignment="1">
      <alignment horizontal="left"/>
    </xf>
    <xf numFmtId="0" fontId="0" fillId="0" borderId="10" xfId="0" applyBorder="1"/>
    <xf numFmtId="2" fontId="0" fillId="0" borderId="10" xfId="0" applyNumberFormat="1" applyBorder="1" applyAlignment="1">
      <alignment horizontal="right"/>
    </xf>
    <xf numFmtId="9" fontId="0" fillId="0" borderId="10" xfId="0" applyNumberFormat="1" applyBorder="1" applyAlignment="1">
      <alignment horizontal="right"/>
    </xf>
    <xf numFmtId="0" fontId="5" fillId="0" borderId="1" xfId="0" applyFont="1" applyBorder="1"/>
    <xf numFmtId="0" fontId="5" fillId="0" borderId="2" xfId="0" applyFont="1" applyBorder="1"/>
    <xf numFmtId="0" fontId="0" fillId="0" borderId="2" xfId="0" applyBorder="1"/>
    <xf numFmtId="0" fontId="0" fillId="0" borderId="3" xfId="0" applyBorder="1"/>
    <xf numFmtId="0" fontId="0" fillId="0" borderId="11" xfId="0" applyBorder="1"/>
    <xf numFmtId="2" fontId="0" fillId="0" borderId="13" xfId="0" applyNumberFormat="1" applyBorder="1" applyAlignment="1">
      <alignment horizontal="right"/>
    </xf>
    <xf numFmtId="9" fontId="0" fillId="0" borderId="13" xfId="0" applyNumberFormat="1" applyBorder="1" applyAlignment="1">
      <alignment horizontal="right"/>
    </xf>
    <xf numFmtId="0" fontId="0" fillId="0" borderId="4" xfId="0" applyBorder="1"/>
    <xf numFmtId="9" fontId="0" fillId="0" borderId="14" xfId="0" applyNumberFormat="1" applyBorder="1" applyAlignment="1">
      <alignment horizontal="right"/>
    </xf>
    <xf numFmtId="9" fontId="0" fillId="0" borderId="15" xfId="0" applyNumberFormat="1" applyBorder="1" applyAlignment="1">
      <alignment horizontal="right"/>
    </xf>
    <xf numFmtId="0" fontId="0" fillId="0" borderId="10" xfId="0" applyBorder="1" applyAlignment="1">
      <alignment horizontal="center" vertical="center"/>
    </xf>
    <xf numFmtId="0" fontId="0" fillId="0" borderId="16" xfId="0" applyBorder="1"/>
    <xf numFmtId="0" fontId="2" fillId="0" borderId="17" xfId="0" applyFont="1" applyBorder="1" applyAlignment="1">
      <alignment horizontal="center" vertical="center"/>
    </xf>
    <xf numFmtId="0" fontId="2" fillId="0" borderId="19" xfId="0" applyFont="1" applyBorder="1" applyAlignment="1">
      <alignment vertical="top" wrapText="1"/>
    </xf>
    <xf numFmtId="0" fontId="0" fillId="0" borderId="14" xfId="0" applyBorder="1" applyAlignment="1">
      <alignment horizontal="center" vertical="center"/>
    </xf>
    <xf numFmtId="0" fontId="0" fillId="0" borderId="11" xfId="0" applyBorder="1" applyAlignment="1">
      <alignment horizontal="left" wrapText="1"/>
    </xf>
    <xf numFmtId="0" fontId="0" fillId="0" borderId="0" xfId="0" applyBorder="1" applyAlignment="1">
      <alignment horizontal="left" wrapText="1"/>
    </xf>
    <xf numFmtId="0" fontId="0" fillId="0" borderId="0" xfId="0" applyFont="1" applyAlignment="1">
      <alignment horizontal="left" vertical="top" wrapText="1"/>
    </xf>
    <xf numFmtId="0" fontId="6" fillId="0" borderId="0" xfId="0" applyFont="1"/>
    <xf numFmtId="0" fontId="0" fillId="0" borderId="10" xfId="0" applyBorder="1" applyAlignment="1">
      <alignment vertical="center"/>
    </xf>
    <xf numFmtId="9" fontId="0" fillId="0" borderId="10" xfId="0" applyNumberFormat="1" applyBorder="1" applyAlignment="1">
      <alignment horizontal="right" vertical="center"/>
    </xf>
    <xf numFmtId="9" fontId="0" fillId="0" borderId="13" xfId="0" applyNumberFormat="1" applyBorder="1" applyAlignment="1">
      <alignment horizontal="right" vertical="center"/>
    </xf>
    <xf numFmtId="2" fontId="0" fillId="0" borderId="10" xfId="0" applyNumberFormat="1" applyBorder="1" applyAlignment="1">
      <alignment horizontal="right" vertical="center"/>
    </xf>
    <xf numFmtId="2" fontId="0" fillId="0" borderId="13" xfId="0" applyNumberFormat="1" applyBorder="1" applyAlignment="1">
      <alignment horizontal="right" vertical="center"/>
    </xf>
    <xf numFmtId="0" fontId="0" fillId="0" borderId="19" xfId="0" applyFont="1" applyBorder="1"/>
    <xf numFmtId="0" fontId="6" fillId="0" borderId="19" xfId="0" applyFont="1" applyBorder="1"/>
    <xf numFmtId="0" fontId="2" fillId="0" borderId="10" xfId="0" applyFont="1" applyBorder="1" applyAlignment="1">
      <alignment horizontal="center" vertical="center"/>
    </xf>
    <xf numFmtId="0" fontId="2" fillId="0" borderId="10" xfId="0" applyNumberFormat="1" applyFont="1" applyBorder="1" applyAlignment="1">
      <alignment horizontal="center" vertical="center"/>
    </xf>
    <xf numFmtId="0" fontId="2" fillId="0" borderId="13" xfId="0" applyFont="1" applyBorder="1" applyAlignment="1">
      <alignment horizontal="center" vertical="center"/>
    </xf>
    <xf numFmtId="0" fontId="0" fillId="0" borderId="19" xfId="0" applyFont="1" applyBorder="1" applyAlignment="1">
      <alignment vertical="top" wrapText="1"/>
    </xf>
    <xf numFmtId="0" fontId="0" fillId="0" borderId="19" xfId="0" applyFont="1" applyFill="1" applyBorder="1" applyAlignment="1">
      <alignment vertical="top" wrapText="1"/>
    </xf>
    <xf numFmtId="0" fontId="6" fillId="0" borderId="19" xfId="0" applyFont="1" applyBorder="1" applyAlignment="1">
      <alignment vertical="top" wrapText="1"/>
    </xf>
    <xf numFmtId="0" fontId="6" fillId="0" borderId="0" xfId="0" applyFont="1" applyAlignment="1">
      <alignment vertical="top" wrapText="1"/>
    </xf>
    <xf numFmtId="0" fontId="2" fillId="0" borderId="11" xfId="0" applyFont="1" applyBorder="1"/>
    <xf numFmtId="0" fontId="0" fillId="0" borderId="19" xfId="0" applyFont="1" applyBorder="1" applyAlignment="1">
      <alignment wrapText="1"/>
    </xf>
    <xf numFmtId="0" fontId="0" fillId="0" borderId="11" xfId="0" applyFont="1" applyBorder="1" applyAlignment="1">
      <alignment vertical="top" wrapText="1"/>
    </xf>
    <xf numFmtId="0" fontId="0" fillId="0" borderId="4" xfId="0" applyFont="1" applyBorder="1" applyAlignment="1">
      <alignment vertical="top" wrapText="1"/>
    </xf>
    <xf numFmtId="0" fontId="2" fillId="0" borderId="16" xfId="0" applyFont="1" applyFill="1" applyBorder="1" applyAlignment="1">
      <alignment vertical="top"/>
    </xf>
    <xf numFmtId="0" fontId="0" fillId="0" borderId="17" xfId="0" applyFill="1" applyBorder="1" applyAlignment="1">
      <alignment wrapText="1"/>
    </xf>
    <xf numFmtId="0" fontId="2" fillId="0" borderId="16" xfId="0" applyFont="1" applyFill="1" applyBorder="1" applyAlignment="1">
      <alignment horizontal="left" vertical="top"/>
    </xf>
    <xf numFmtId="0" fontId="0" fillId="0" borderId="19" xfId="0" applyBorder="1"/>
    <xf numFmtId="0" fontId="0" fillId="0" borderId="10" xfId="0" applyFill="1" applyBorder="1" applyAlignment="1">
      <alignment wrapText="1"/>
    </xf>
    <xf numFmtId="0" fontId="0" fillId="0" borderId="17" xfId="0" applyFill="1" applyBorder="1" applyAlignment="1">
      <alignment horizontal="center" vertical="center"/>
    </xf>
    <xf numFmtId="0" fontId="2" fillId="0" borderId="21" xfId="0" applyFont="1" applyBorder="1"/>
    <xf numFmtId="0" fontId="2" fillId="0" borderId="22" xfId="0" applyFont="1" applyBorder="1" applyAlignment="1">
      <alignment horizontal="left"/>
    </xf>
    <xf numFmtId="0" fontId="2" fillId="0" borderId="22" xfId="0" applyFont="1" applyBorder="1"/>
    <xf numFmtId="0" fontId="6" fillId="0" borderId="11" xfId="0" applyFont="1" applyBorder="1" applyAlignment="1">
      <alignment vertical="top" wrapText="1"/>
    </xf>
    <xf numFmtId="0" fontId="0" fillId="2" borderId="0" xfId="0" applyNumberFormat="1" applyFill="1" applyAlignment="1" applyProtection="1">
      <alignment horizontal="right"/>
      <protection locked="0"/>
    </xf>
    <xf numFmtId="0" fontId="0" fillId="0" borderId="0" xfId="0" applyNumberFormat="1" applyAlignment="1" applyProtection="1">
      <alignment horizontal="right"/>
      <protection locked="0"/>
    </xf>
    <xf numFmtId="3" fontId="0" fillId="0" borderId="0" xfId="0" applyNumberFormat="1"/>
    <xf numFmtId="10" fontId="0" fillId="0" borderId="0" xfId="3" applyNumberFormat="1" applyFont="1"/>
    <xf numFmtId="10" fontId="0" fillId="0" borderId="0" xfId="0" applyNumberFormat="1"/>
    <xf numFmtId="0" fontId="0" fillId="4" borderId="8" xfId="0" applyFill="1" applyBorder="1"/>
    <xf numFmtId="0" fontId="0" fillId="7" borderId="9" xfId="0" applyFont="1" applyFill="1" applyBorder="1"/>
    <xf numFmtId="0" fontId="0" fillId="0" borderId="0" xfId="0" applyFont="1" applyFill="1" applyBorder="1" applyAlignment="1">
      <alignment vertical="top" wrapText="1"/>
    </xf>
    <xf numFmtId="0" fontId="2" fillId="0" borderId="16" xfId="0" applyFont="1" applyBorder="1"/>
    <xf numFmtId="0" fontId="2" fillId="0" borderId="17" xfId="0" applyFont="1" applyBorder="1"/>
    <xf numFmtId="0" fontId="2" fillId="0" borderId="17" xfId="0" applyFont="1" applyBorder="1" applyAlignment="1">
      <alignment horizontal="center" wrapText="1"/>
    </xf>
    <xf numFmtId="0" fontId="2" fillId="0" borderId="18" xfId="0" applyFont="1" applyFill="1" applyBorder="1" applyAlignment="1">
      <alignment horizontal="center" wrapText="1"/>
    </xf>
    <xf numFmtId="0" fontId="0" fillId="0" borderId="20" xfId="0" applyFont="1" applyBorder="1" applyAlignment="1">
      <alignment vertical="top" wrapText="1"/>
    </xf>
    <xf numFmtId="0" fontId="0" fillId="0" borderId="14" xfId="0" applyBorder="1" applyAlignment="1">
      <alignment vertical="center"/>
    </xf>
    <xf numFmtId="0" fontId="0" fillId="0" borderId="9" xfId="0" applyBorder="1"/>
    <xf numFmtId="9" fontId="0" fillId="0" borderId="14" xfId="0" applyNumberFormat="1" applyBorder="1" applyAlignment="1">
      <alignment horizontal="right" vertical="center"/>
    </xf>
    <xf numFmtId="9" fontId="0" fillId="0" borderId="15" xfId="0" applyNumberFormat="1" applyBorder="1" applyAlignment="1">
      <alignment horizontal="right" vertical="center"/>
    </xf>
    <xf numFmtId="0" fontId="2" fillId="0" borderId="27" xfId="0" applyFont="1" applyFill="1" applyBorder="1" applyAlignment="1">
      <alignment vertical="top"/>
    </xf>
    <xf numFmtId="0" fontId="0" fillId="0" borderId="28" xfId="0" applyFill="1" applyBorder="1" applyAlignment="1">
      <alignment horizontal="center" vertical="center"/>
    </xf>
    <xf numFmtId="0" fontId="0" fillId="0" borderId="11" xfId="0" applyBorder="1" applyAlignment="1">
      <alignment horizontal="left" wrapText="1"/>
    </xf>
    <xf numFmtId="0" fontId="0" fillId="0" borderId="0" xfId="0" applyBorder="1" applyAlignment="1">
      <alignment horizontal="left" wrapText="1"/>
    </xf>
    <xf numFmtId="0" fontId="0" fillId="0" borderId="20" xfId="0" applyFont="1" applyFill="1" applyBorder="1" applyAlignment="1">
      <alignment vertical="top" wrapText="1"/>
    </xf>
    <xf numFmtId="0" fontId="0" fillId="0" borderId="14" xfId="0" applyFill="1" applyBorder="1"/>
    <xf numFmtId="0" fontId="7" fillId="0" borderId="0" xfId="0" applyFont="1" applyAlignment="1">
      <alignment horizontal="center"/>
    </xf>
    <xf numFmtId="10" fontId="0" fillId="0" borderId="10" xfId="0" applyNumberFormat="1" applyBorder="1" applyAlignment="1">
      <alignment horizontal="right" vertical="center"/>
    </xf>
    <xf numFmtId="10" fontId="0" fillId="0" borderId="13" xfId="0" applyNumberFormat="1" applyBorder="1" applyAlignment="1">
      <alignment horizontal="right" vertical="center"/>
    </xf>
    <xf numFmtId="167" fontId="0" fillId="0" borderId="10" xfId="0" applyNumberFormat="1" applyBorder="1" applyAlignment="1">
      <alignment horizontal="right" vertical="center"/>
    </xf>
    <xf numFmtId="167" fontId="0" fillId="0" borderId="13" xfId="0" applyNumberFormat="1" applyBorder="1" applyAlignment="1">
      <alignment horizontal="right" vertical="center"/>
    </xf>
    <xf numFmtId="3" fontId="0" fillId="0" borderId="10" xfId="0" applyNumberFormat="1" applyBorder="1" applyAlignment="1">
      <alignment horizontal="right" vertical="center"/>
    </xf>
    <xf numFmtId="3" fontId="0" fillId="0" borderId="13" xfId="0" applyNumberFormat="1" applyBorder="1" applyAlignment="1">
      <alignment horizontal="right" vertical="center"/>
    </xf>
    <xf numFmtId="10" fontId="0" fillId="0" borderId="14" xfId="0" applyNumberFormat="1" applyBorder="1" applyAlignment="1">
      <alignment horizontal="right" vertical="center"/>
    </xf>
    <xf numFmtId="10" fontId="0" fillId="0" borderId="15" xfId="0" applyNumberFormat="1" applyBorder="1" applyAlignment="1">
      <alignment horizontal="right" vertical="center"/>
    </xf>
    <xf numFmtId="10" fontId="0" fillId="0" borderId="0" xfId="0" applyNumberFormat="1" applyBorder="1" applyAlignment="1">
      <alignment horizontal="right"/>
    </xf>
    <xf numFmtId="10" fontId="0" fillId="0" borderId="12" xfId="0" applyNumberFormat="1" applyBorder="1" applyAlignment="1">
      <alignment horizontal="right"/>
    </xf>
    <xf numFmtId="10" fontId="0" fillId="0" borderId="17" xfId="0" applyNumberFormat="1" applyFill="1" applyBorder="1" applyAlignment="1">
      <alignment horizontal="right" vertical="center"/>
    </xf>
    <xf numFmtId="10" fontId="0" fillId="0" borderId="28" xfId="0" applyNumberFormat="1" applyFill="1" applyBorder="1" applyAlignment="1">
      <alignment horizontal="right" vertical="center"/>
    </xf>
    <xf numFmtId="10" fontId="0" fillId="0" borderId="10" xfId="0" applyNumberFormat="1" applyFill="1" applyBorder="1" applyAlignment="1">
      <alignment horizontal="right" vertical="center"/>
    </xf>
    <xf numFmtId="10" fontId="0" fillId="0" borderId="18" xfId="0" applyNumberFormat="1" applyFill="1" applyBorder="1" applyAlignment="1">
      <alignment horizontal="right" vertical="center"/>
    </xf>
    <xf numFmtId="10" fontId="0" fillId="0" borderId="29" xfId="0" applyNumberFormat="1" applyFill="1" applyBorder="1" applyAlignment="1">
      <alignment horizontal="right" vertical="center"/>
    </xf>
    <xf numFmtId="10" fontId="0" fillId="0" borderId="13" xfId="0" applyNumberFormat="1" applyFill="1" applyBorder="1" applyAlignment="1">
      <alignment horizontal="right" vertical="center"/>
    </xf>
    <xf numFmtId="0" fontId="0" fillId="0" borderId="28" xfId="0" applyFill="1" applyBorder="1" applyAlignment="1">
      <alignment wrapText="1"/>
    </xf>
    <xf numFmtId="0" fontId="2" fillId="0" borderId="0" xfId="0" applyFont="1" applyFill="1"/>
    <xf numFmtId="0" fontId="0" fillId="0" borderId="0" xfId="0" applyFill="1"/>
    <xf numFmtId="0" fontId="0" fillId="0" borderId="10" xfId="0" applyBorder="1" applyAlignment="1">
      <alignment horizontal="center"/>
    </xf>
    <xf numFmtId="10" fontId="0" fillId="0" borderId="10" xfId="0" applyNumberFormat="1" applyBorder="1" applyAlignment="1">
      <alignment horizontal="right"/>
    </xf>
    <xf numFmtId="0" fontId="2" fillId="0" borderId="16" xfId="0" applyFont="1" applyFill="1" applyBorder="1"/>
    <xf numFmtId="0" fontId="0" fillId="0" borderId="17" xfId="0" applyBorder="1" applyAlignment="1">
      <alignment horizontal="center"/>
    </xf>
    <xf numFmtId="10" fontId="0" fillId="0" borderId="17" xfId="0" applyNumberFormat="1" applyBorder="1" applyAlignment="1">
      <alignment horizontal="right"/>
    </xf>
    <xf numFmtId="10" fontId="0" fillId="0" borderId="18" xfId="0" applyNumberFormat="1" applyBorder="1" applyAlignment="1">
      <alignment horizontal="right"/>
    </xf>
    <xf numFmtId="0" fontId="6" fillId="0" borderId="19" xfId="0" applyFont="1" applyFill="1" applyBorder="1" applyAlignment="1">
      <alignment vertical="top" wrapText="1"/>
    </xf>
    <xf numFmtId="10" fontId="0" fillId="0" borderId="13" xfId="0" applyNumberFormat="1" applyBorder="1" applyAlignment="1">
      <alignment horizontal="right"/>
    </xf>
    <xf numFmtId="0" fontId="2" fillId="0" borderId="17" xfId="0" applyFont="1" applyBorder="1" applyAlignment="1">
      <alignment horizontal="right" vertical="center"/>
    </xf>
    <xf numFmtId="0" fontId="2" fillId="0" borderId="17" xfId="0" applyNumberFormat="1" applyFont="1" applyBorder="1" applyAlignment="1">
      <alignment horizontal="right" vertical="center"/>
    </xf>
    <xf numFmtId="0" fontId="2" fillId="0" borderId="18" xfId="0" applyFont="1" applyBorder="1" applyAlignment="1">
      <alignment horizontal="right" vertical="center"/>
    </xf>
    <xf numFmtId="0" fontId="0" fillId="0" borderId="14" xfId="0" applyBorder="1" applyAlignment="1">
      <alignment horizontal="center"/>
    </xf>
    <xf numFmtId="10" fontId="0" fillId="0" borderId="14" xfId="0" applyNumberFormat="1" applyBorder="1" applyAlignment="1">
      <alignment horizontal="right"/>
    </xf>
    <xf numFmtId="10" fontId="0" fillId="0" borderId="15" xfId="0" applyNumberFormat="1" applyBorder="1" applyAlignment="1">
      <alignment horizontal="right"/>
    </xf>
    <xf numFmtId="0" fontId="2" fillId="0" borderId="17" xfId="0" applyFont="1" applyBorder="1" applyAlignment="1">
      <alignment horizontal="center"/>
    </xf>
    <xf numFmtId="0" fontId="2" fillId="0" borderId="17" xfId="0" applyNumberFormat="1" applyFont="1" applyBorder="1" applyAlignment="1">
      <alignment horizontal="center" wrapText="1"/>
    </xf>
    <xf numFmtId="0" fontId="2" fillId="0" borderId="18" xfId="0" applyFont="1" applyBorder="1" applyAlignment="1">
      <alignment horizontal="center"/>
    </xf>
    <xf numFmtId="0" fontId="2" fillId="6" borderId="4" xfId="0" applyFont="1" applyFill="1" applyBorder="1" applyAlignment="1">
      <alignment vertical="top"/>
    </xf>
    <xf numFmtId="0" fontId="2" fillId="6" borderId="6" xfId="0" applyFont="1" applyFill="1" applyBorder="1" applyAlignment="1">
      <alignment vertical="top" wrapText="1"/>
    </xf>
    <xf numFmtId="0" fontId="2" fillId="6" borderId="5" xfId="0" applyFont="1" applyFill="1" applyBorder="1" applyAlignment="1">
      <alignment vertical="top" wrapText="1"/>
    </xf>
    <xf numFmtId="0" fontId="2" fillId="6" borderId="4" xfId="0" applyFont="1" applyFill="1" applyBorder="1" applyAlignment="1">
      <alignment vertical="top" wrapText="1"/>
    </xf>
    <xf numFmtId="0" fontId="0" fillId="6" borderId="26" xfId="0" applyFill="1" applyBorder="1" applyAlignment="1">
      <alignment vertical="top" wrapText="1"/>
    </xf>
    <xf numFmtId="9" fontId="0" fillId="0" borderId="10" xfId="0" applyNumberFormat="1" applyBorder="1" applyAlignment="1">
      <alignment vertical="center"/>
    </xf>
    <xf numFmtId="9" fontId="0" fillId="0" borderId="19" xfId="0" applyNumberFormat="1" applyBorder="1" applyAlignment="1">
      <alignment vertical="center"/>
    </xf>
    <xf numFmtId="9" fontId="0" fillId="0" borderId="13" xfId="0" applyNumberFormat="1" applyBorder="1" applyAlignment="1">
      <alignment vertical="center"/>
    </xf>
    <xf numFmtId="9" fontId="0" fillId="0" borderId="20" xfId="0" applyNumberFormat="1" applyBorder="1" applyAlignment="1">
      <alignment vertical="center"/>
    </xf>
    <xf numFmtId="9" fontId="0" fillId="0" borderId="14" xfId="0" applyNumberFormat="1" applyBorder="1" applyAlignment="1">
      <alignment vertical="center"/>
    </xf>
    <xf numFmtId="9" fontId="0" fillId="0" borderId="15" xfId="0" applyNumberFormat="1" applyBorder="1" applyAlignment="1">
      <alignment vertical="center"/>
    </xf>
    <xf numFmtId="0" fontId="2" fillId="0" borderId="16" xfId="0" applyFont="1" applyBorder="1" applyAlignment="1">
      <alignment horizontal="center" wrapText="1"/>
    </xf>
    <xf numFmtId="0" fontId="2" fillId="0" borderId="18" xfId="0" applyFont="1" applyBorder="1" applyAlignment="1">
      <alignment horizontal="center" wrapText="1"/>
    </xf>
    <xf numFmtId="0" fontId="2" fillId="0" borderId="25" xfId="0" applyFont="1" applyBorder="1" applyAlignment="1">
      <alignment horizontal="left"/>
    </xf>
    <xf numFmtId="0" fontId="0" fillId="0" borderId="26" xfId="0" applyBorder="1" applyAlignment="1">
      <alignment horizontal="left" wrapText="1"/>
    </xf>
    <xf numFmtId="0" fontId="2" fillId="0" borderId="25" xfId="0" applyFont="1" applyBorder="1" applyAlignment="1">
      <alignment horizontal="left" wrapText="1"/>
    </xf>
    <xf numFmtId="2" fontId="0" fillId="0" borderId="19" xfId="0" applyNumberFormat="1" applyBorder="1" applyAlignment="1">
      <alignment horizontal="right"/>
    </xf>
    <xf numFmtId="9" fontId="0" fillId="0" borderId="19" xfId="0" applyNumberFormat="1" applyBorder="1" applyAlignment="1">
      <alignment horizontal="right" vertical="center"/>
    </xf>
    <xf numFmtId="2" fontId="0" fillId="0" borderId="19" xfId="0" applyNumberFormat="1" applyBorder="1" applyAlignment="1">
      <alignment horizontal="right" vertical="center"/>
    </xf>
    <xf numFmtId="9" fontId="0" fillId="0" borderId="20" xfId="0" applyNumberFormat="1" applyBorder="1" applyAlignment="1">
      <alignment horizontal="right" vertical="center"/>
    </xf>
    <xf numFmtId="0" fontId="0" fillId="0" borderId="27" xfId="0" applyBorder="1"/>
    <xf numFmtId="0" fontId="0" fillId="0" borderId="28" xfId="0" applyBorder="1" applyAlignment="1">
      <alignment horizontal="center" vertical="center"/>
    </xf>
    <xf numFmtId="0" fontId="2" fillId="0" borderId="30" xfId="0" applyFont="1" applyBorder="1" applyAlignment="1">
      <alignment vertical="top"/>
    </xf>
    <xf numFmtId="0" fontId="0" fillId="0" borderId="31" xfId="0" applyFill="1" applyBorder="1" applyAlignment="1">
      <alignment vertical="top" wrapText="1"/>
    </xf>
    <xf numFmtId="0" fontId="0" fillId="0" borderId="31" xfId="0" applyBorder="1"/>
    <xf numFmtId="0" fontId="0" fillId="0" borderId="31" xfId="0" applyBorder="1" applyAlignment="1">
      <alignment horizontal="center" vertical="center"/>
    </xf>
    <xf numFmtId="0" fontId="2" fillId="0" borderId="0" xfId="0" applyFont="1" applyAlignment="1">
      <alignment horizontal="center"/>
    </xf>
    <xf numFmtId="0" fontId="10" fillId="0" borderId="0" xfId="0" applyFont="1"/>
    <xf numFmtId="0" fontId="0" fillId="0" borderId="0" xfId="0" applyAlignment="1">
      <alignment horizontal="center"/>
    </xf>
    <xf numFmtId="0" fontId="2" fillId="0" borderId="30" xfId="0" applyFont="1" applyBorder="1" applyAlignment="1">
      <alignment horizontal="center"/>
    </xf>
    <xf numFmtId="0" fontId="2" fillId="0" borderId="31" xfId="0" applyFont="1" applyBorder="1" applyAlignment="1">
      <alignment horizontal="center" wrapText="1"/>
    </xf>
    <xf numFmtId="0" fontId="2" fillId="0" borderId="31" xfId="0" applyNumberFormat="1" applyFont="1" applyBorder="1" applyAlignment="1">
      <alignment horizontal="center" wrapText="1"/>
    </xf>
    <xf numFmtId="0" fontId="2" fillId="0" borderId="32" xfId="0" applyFont="1" applyBorder="1" applyAlignment="1">
      <alignment horizontal="center"/>
    </xf>
    <xf numFmtId="0" fontId="10" fillId="0" borderId="0" xfId="0" applyFont="1" applyAlignment="1"/>
    <xf numFmtId="0" fontId="0" fillId="0" borderId="33" xfId="0" applyBorder="1" applyAlignment="1">
      <alignment horizontal="center"/>
    </xf>
    <xf numFmtId="0" fontId="0" fillId="0" borderId="33" xfId="0" applyFill="1" applyBorder="1" applyAlignment="1">
      <alignment horizontal="center"/>
    </xf>
    <xf numFmtId="0" fontId="0" fillId="0" borderId="19" xfId="0" applyFont="1" applyFill="1" applyBorder="1" applyAlignment="1">
      <alignment horizontal="left" vertical="center" wrapText="1"/>
    </xf>
    <xf numFmtId="0" fontId="0" fillId="0" borderId="33" xfId="0" applyBorder="1" applyAlignment="1">
      <alignment horizontal="center" vertical="center"/>
    </xf>
    <xf numFmtId="0" fontId="0" fillId="0" borderId="19" xfId="0" applyFont="1" applyBorder="1" applyAlignment="1">
      <alignment horizontal="left" vertical="center" wrapText="1"/>
    </xf>
    <xf numFmtId="0" fontId="0" fillId="0" borderId="33" xfId="0" applyBorder="1" applyAlignment="1">
      <alignment horizontal="center" vertical="center" wrapText="1"/>
    </xf>
    <xf numFmtId="0" fontId="6" fillId="0" borderId="19" xfId="0" applyFont="1" applyFill="1" applyBorder="1" applyAlignment="1">
      <alignment vertical="center" wrapText="1"/>
    </xf>
    <xf numFmtId="0" fontId="0" fillId="0" borderId="20" xfId="0" applyFont="1" applyFill="1" applyBorder="1" applyAlignment="1">
      <alignment horizontal="left" vertical="center" wrapText="1"/>
    </xf>
    <xf numFmtId="5" fontId="0" fillId="0" borderId="31" xfId="4" applyNumberFormat="1" applyFont="1" applyBorder="1" applyAlignment="1">
      <alignment horizontal="right" vertical="center"/>
    </xf>
    <xf numFmtId="5" fontId="0" fillId="0" borderId="32" xfId="4" applyNumberFormat="1" applyFont="1" applyBorder="1" applyAlignment="1">
      <alignment horizontal="right" vertical="center"/>
    </xf>
    <xf numFmtId="0" fontId="0" fillId="0" borderId="0" xfId="0" applyFill="1" applyAlignment="1">
      <alignment horizontal="left" wrapText="1"/>
    </xf>
    <xf numFmtId="0" fontId="0" fillId="0" borderId="0" xfId="0" applyAlignment="1">
      <alignment horizontal="left"/>
    </xf>
    <xf numFmtId="0" fontId="4" fillId="0" borderId="0" xfId="2" applyAlignment="1">
      <alignment horizontal="left"/>
    </xf>
    <xf numFmtId="0" fontId="8" fillId="0" borderId="0" xfId="0" applyFont="1" applyAlignment="1">
      <alignment horizontal="center"/>
    </xf>
    <xf numFmtId="0" fontId="7" fillId="0" borderId="0" xfId="0" applyFont="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0" fillId="0" borderId="11" xfId="0" applyBorder="1" applyAlignment="1">
      <alignment horizontal="left" wrapText="1"/>
    </xf>
    <xf numFmtId="0" fontId="0" fillId="0" borderId="0" xfId="0" applyBorder="1" applyAlignment="1">
      <alignment horizontal="left" wrapText="1"/>
    </xf>
    <xf numFmtId="0" fontId="0" fillId="0" borderId="12" xfId="0" applyBorder="1" applyAlignment="1">
      <alignment horizontal="left" wrapText="1"/>
    </xf>
    <xf numFmtId="0" fontId="0" fillId="0" borderId="11" xfId="0" applyFill="1" applyBorder="1" applyAlignment="1">
      <alignment horizontal="left" wrapText="1"/>
    </xf>
    <xf numFmtId="0" fontId="0" fillId="0" borderId="0" xfId="0" applyFill="1" applyBorder="1" applyAlignment="1">
      <alignment horizontal="left" wrapText="1"/>
    </xf>
    <xf numFmtId="0" fontId="0" fillId="0" borderId="12" xfId="0" applyFill="1" applyBorder="1" applyAlignment="1">
      <alignment horizontal="left" wrapText="1"/>
    </xf>
    <xf numFmtId="0" fontId="2" fillId="0" borderId="0" xfId="0" applyFont="1" applyAlignment="1">
      <alignment horizontal="left"/>
    </xf>
    <xf numFmtId="0" fontId="0" fillId="0" borderId="0" xfId="0" applyFont="1" applyFill="1" applyAlignment="1">
      <alignment horizontal="left" wrapText="1"/>
    </xf>
    <xf numFmtId="0" fontId="0" fillId="0" borderId="0" xfId="0" applyFont="1" applyAlignment="1">
      <alignment horizontal="left" wrapText="1"/>
    </xf>
    <xf numFmtId="0" fontId="2" fillId="6" borderId="24" xfId="0" applyFont="1" applyFill="1" applyBorder="1" applyAlignment="1">
      <alignment horizontal="left" vertical="top"/>
    </xf>
    <xf numFmtId="0" fontId="2" fillId="6" borderId="25" xfId="0" applyFont="1" applyFill="1" applyBorder="1" applyAlignment="1">
      <alignment horizontal="left" vertical="top"/>
    </xf>
    <xf numFmtId="0" fontId="0" fillId="0" borderId="0" xfId="0" applyFont="1" applyFill="1" applyAlignment="1">
      <alignment horizontal="left" vertical="top" wrapText="1"/>
    </xf>
    <xf numFmtId="0" fontId="2" fillId="0" borderId="0" xfId="0" applyFont="1" applyAlignment="1">
      <alignment horizontal="center"/>
    </xf>
    <xf numFmtId="0" fontId="2" fillId="0" borderId="0" xfId="0" applyFont="1" applyBorder="1" applyAlignment="1">
      <alignment horizontal="center"/>
    </xf>
    <xf numFmtId="0" fontId="0" fillId="0" borderId="24" xfId="0" applyBorder="1" applyAlignment="1">
      <alignment horizontal="center"/>
    </xf>
    <xf numFmtId="0" fontId="0" fillId="0" borderId="25" xfId="0" applyBorder="1" applyAlignment="1">
      <alignment horizontal="center"/>
    </xf>
  </cellXfs>
  <cellStyles count="5">
    <cellStyle name="Comma" xfId="1" builtinId="3"/>
    <cellStyle name="Currency" xfId="4" builtinId="4"/>
    <cellStyle name="Hyperlink" xfId="2" builtinId="8"/>
    <cellStyle name="Normal" xfId="0" builtinId="0"/>
    <cellStyle name="Percent" xfId="3" builtinId="5"/>
  </cellStyles>
  <dxfs count="14">
    <dxf>
      <fill>
        <patternFill>
          <bgColor rgb="FFD8B365"/>
        </patternFill>
      </fill>
    </dxf>
    <dxf>
      <fill>
        <patternFill>
          <bgColor rgb="FF5AB4AC"/>
        </patternFill>
      </fill>
    </dxf>
    <dxf>
      <fill>
        <patternFill>
          <bgColor rgb="FFC4720E"/>
        </patternFill>
      </fill>
    </dxf>
    <dxf>
      <fill>
        <patternFill>
          <bgColor rgb="FF8C82CD"/>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8B365"/>
        </patternFill>
      </fill>
    </dxf>
    <dxf>
      <fill>
        <patternFill>
          <bgColor rgb="FF5AB4AC"/>
        </patternFill>
      </fill>
    </dxf>
    <dxf>
      <fill>
        <patternFill>
          <bgColor rgb="FFC4720E"/>
        </patternFill>
      </fill>
    </dxf>
    <dxf>
      <fill>
        <patternFill>
          <bgColor rgb="FF8C82CD"/>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8C82CD"/>
      <color rgb="FFC4720E"/>
      <color rgb="FF5AB4AC"/>
      <color rgb="FFD8B365"/>
      <color rgb="FF8F7FCB"/>
      <color rgb="FFF6E8C3"/>
      <color rgb="FF8C51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2</xdr:row>
      <xdr:rowOff>9525</xdr:rowOff>
    </xdr:from>
    <xdr:to>
      <xdr:col>2</xdr:col>
      <xdr:colOff>114300</xdr:colOff>
      <xdr:row>5</xdr:row>
      <xdr:rowOff>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495300"/>
          <a:ext cx="714375" cy="714375"/>
        </a:xfrm>
        <a:prstGeom prst="rect">
          <a:avLst/>
        </a:prstGeom>
      </xdr:spPr>
    </xdr:pic>
    <xdr:clientData/>
  </xdr:twoCellAnchor>
  <xdr:twoCellAnchor editAs="oneCell">
    <xdr:from>
      <xdr:col>6</xdr:col>
      <xdr:colOff>38100</xdr:colOff>
      <xdr:row>3</xdr:row>
      <xdr:rowOff>9525</xdr:rowOff>
    </xdr:from>
    <xdr:to>
      <xdr:col>8</xdr:col>
      <xdr:colOff>581025</xdr:colOff>
      <xdr:row>4</xdr:row>
      <xdr:rowOff>171451</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8046" b="40230"/>
        <a:stretch/>
      </xdr:blipFill>
      <xdr:spPr>
        <a:xfrm>
          <a:off x="3695700" y="762000"/>
          <a:ext cx="1762125" cy="4286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hud.gov/offices/cpd/about/conplan/cp_training_ta.cf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I20"/>
  <sheetViews>
    <sheetView workbookViewId="0">
      <selection activeCell="A2" sqref="A2"/>
    </sheetView>
  </sheetViews>
  <sheetFormatPr defaultRowHeight="15" x14ac:dyDescent="0.25"/>
  <sheetData>
    <row r="2" spans="2:9" ht="23.25" x14ac:dyDescent="0.35">
      <c r="B2" s="176" t="s">
        <v>142</v>
      </c>
      <c r="C2" s="176"/>
      <c r="D2" s="176"/>
      <c r="E2" s="176"/>
      <c r="F2" s="176"/>
      <c r="G2" s="176"/>
      <c r="H2" s="176"/>
      <c r="I2" s="176"/>
    </row>
    <row r="3" spans="2:9" ht="21" x14ac:dyDescent="0.35">
      <c r="B3" s="177" t="s">
        <v>141</v>
      </c>
      <c r="C3" s="177"/>
      <c r="D3" s="177"/>
      <c r="E3" s="177"/>
      <c r="F3" s="177"/>
      <c r="G3" s="177"/>
      <c r="H3" s="177"/>
      <c r="I3" s="177"/>
    </row>
    <row r="4" spans="2:9" ht="21" x14ac:dyDescent="0.35">
      <c r="B4" s="92"/>
      <c r="C4" s="92"/>
      <c r="D4" s="92"/>
      <c r="E4" s="92"/>
      <c r="F4" s="92"/>
      <c r="G4" s="92"/>
      <c r="H4" s="92"/>
      <c r="I4" s="92"/>
    </row>
    <row r="6" spans="2:9" ht="105.75" customHeight="1" x14ac:dyDescent="0.25">
      <c r="B6" s="173" t="s">
        <v>150</v>
      </c>
      <c r="C6" s="173"/>
      <c r="D6" s="173"/>
      <c r="E6" s="173"/>
      <c r="F6" s="173"/>
      <c r="G6" s="173"/>
      <c r="H6" s="173"/>
      <c r="I6" s="173"/>
    </row>
    <row r="7" spans="2:9" x14ac:dyDescent="0.25">
      <c r="B7" s="111"/>
      <c r="C7" s="111"/>
      <c r="D7" s="111"/>
      <c r="E7" s="111"/>
      <c r="F7" s="111"/>
      <c r="G7" s="111"/>
      <c r="H7" s="111"/>
      <c r="I7" s="111"/>
    </row>
    <row r="8" spans="2:9" ht="90.75" customHeight="1" x14ac:dyDescent="0.25">
      <c r="B8" s="173" t="s">
        <v>151</v>
      </c>
      <c r="C8" s="173"/>
      <c r="D8" s="173"/>
      <c r="E8" s="173"/>
      <c r="F8" s="173"/>
      <c r="G8" s="173"/>
      <c r="H8" s="173"/>
      <c r="I8" s="173"/>
    </row>
    <row r="10" spans="2:9" x14ac:dyDescent="0.25">
      <c r="B10" s="174" t="s">
        <v>143</v>
      </c>
      <c r="C10" s="174"/>
      <c r="D10" s="174"/>
      <c r="E10" s="174"/>
      <c r="F10" s="174"/>
      <c r="G10" s="174"/>
      <c r="H10" s="174"/>
      <c r="I10" s="174"/>
    </row>
    <row r="11" spans="2:9" x14ac:dyDescent="0.25">
      <c r="B11" s="175" t="s">
        <v>14</v>
      </c>
      <c r="C11" s="174"/>
      <c r="D11" s="174"/>
      <c r="E11" s="174"/>
      <c r="F11" s="174"/>
      <c r="G11" s="174"/>
      <c r="H11" s="174"/>
      <c r="I11" s="174"/>
    </row>
    <row r="20" ht="89.25" customHeight="1" x14ac:dyDescent="0.25"/>
  </sheetData>
  <mergeCells count="6">
    <mergeCell ref="B8:I8"/>
    <mergeCell ref="B10:I10"/>
    <mergeCell ref="B11:I11"/>
    <mergeCell ref="B6:I6"/>
    <mergeCell ref="B2:I2"/>
    <mergeCell ref="B3:I3"/>
  </mergeCells>
  <hyperlinks>
    <hyperlink ref="B11" r:id="rId1"/>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57"/>
  <sheetViews>
    <sheetView tabSelected="1" topLeftCell="A2" zoomScaleNormal="100" workbookViewId="0">
      <selection activeCell="R18" sqref="R18"/>
    </sheetView>
  </sheetViews>
  <sheetFormatPr defaultRowHeight="15" x14ac:dyDescent="0.25"/>
  <cols>
    <col min="2" max="2" width="20.42578125" bestFit="1" customWidth="1"/>
    <col min="3" max="3" width="11.42578125" customWidth="1"/>
    <col min="4" max="4" width="6.7109375" bestFit="1" customWidth="1"/>
    <col min="5" max="5" width="20.42578125" bestFit="1" customWidth="1"/>
    <col min="6" max="6" width="13.42578125" customWidth="1"/>
    <col min="7" max="7" width="10.28515625" customWidth="1"/>
    <col min="8" max="10" width="10.5703125" customWidth="1"/>
    <col min="11" max="11" width="3.7109375" customWidth="1"/>
  </cols>
  <sheetData>
    <row r="1" spans="1:10" hidden="1" x14ac:dyDescent="0.25">
      <c r="A1" s="2"/>
      <c r="B1" s="2"/>
      <c r="C1" s="2"/>
      <c r="D1" s="2"/>
      <c r="E1" s="2"/>
      <c r="F1" s="2"/>
      <c r="G1" s="2"/>
      <c r="H1" s="2"/>
      <c r="I1" s="2"/>
      <c r="J1" s="2"/>
    </row>
    <row r="3" spans="1:10" ht="63" customHeight="1" x14ac:dyDescent="0.25">
      <c r="B3" s="173" t="s">
        <v>152</v>
      </c>
      <c r="C3" s="173"/>
      <c r="D3" s="173"/>
      <c r="E3" s="173"/>
      <c r="F3" s="173"/>
      <c r="G3" s="173"/>
      <c r="H3" s="173"/>
      <c r="I3" s="173"/>
      <c r="J3" s="173"/>
    </row>
    <row r="5" spans="1:10" hidden="1" x14ac:dyDescent="0.25"/>
    <row r="6" spans="1:10" hidden="1" x14ac:dyDescent="0.25">
      <c r="B6" s="2"/>
    </row>
    <row r="7" spans="1:10" ht="44.25" hidden="1" customHeight="1" x14ac:dyDescent="0.25">
      <c r="B7" s="173"/>
      <c r="C7" s="173"/>
      <c r="D7" s="173"/>
      <c r="E7" s="173"/>
      <c r="F7" s="173"/>
      <c r="G7" s="173"/>
      <c r="H7" s="173"/>
      <c r="I7" s="173"/>
      <c r="J7" s="173"/>
    </row>
    <row r="8" spans="1:10" hidden="1" x14ac:dyDescent="0.25">
      <c r="B8" s="173"/>
      <c r="C8" s="173"/>
      <c r="D8" s="173"/>
      <c r="E8" s="173"/>
      <c r="F8" s="173"/>
      <c r="G8" s="173"/>
      <c r="H8" s="173"/>
      <c r="I8" s="173"/>
      <c r="J8" s="173"/>
    </row>
    <row r="9" spans="1:10" ht="31.5" hidden="1" customHeight="1" x14ac:dyDescent="0.25">
      <c r="B9" s="173"/>
      <c r="C9" s="173"/>
      <c r="D9" s="173"/>
      <c r="E9" s="173"/>
      <c r="F9" s="173"/>
      <c r="G9" s="173"/>
      <c r="H9" s="173"/>
      <c r="I9" s="173"/>
      <c r="J9" s="173"/>
    </row>
    <row r="10" spans="1:10" ht="30.75" hidden="1" customHeight="1" x14ac:dyDescent="0.25">
      <c r="B10" s="173"/>
      <c r="C10" s="173"/>
      <c r="D10" s="173"/>
      <c r="E10" s="173"/>
      <c r="F10" s="173"/>
      <c r="G10" s="173"/>
      <c r="H10" s="173"/>
      <c r="I10" s="173"/>
      <c r="J10" s="173"/>
    </row>
    <row r="11" spans="1:10" hidden="1" x14ac:dyDescent="0.25">
      <c r="B11" s="174"/>
      <c r="C11" s="174"/>
      <c r="D11" s="174"/>
      <c r="E11" s="174"/>
      <c r="F11" s="174"/>
    </row>
    <row r="12" spans="1:10" hidden="1" x14ac:dyDescent="0.25"/>
    <row r="14" spans="1:10" x14ac:dyDescent="0.25">
      <c r="B14" s="2" t="s">
        <v>184</v>
      </c>
    </row>
    <row r="15" spans="1:10" ht="78" customHeight="1" thickBot="1" x14ac:dyDescent="0.3">
      <c r="B15" s="190" t="s">
        <v>153</v>
      </c>
      <c r="C15" s="190"/>
      <c r="D15" s="190"/>
      <c r="E15" s="190"/>
      <c r="F15" s="190"/>
      <c r="G15" s="190"/>
      <c r="H15" s="190"/>
      <c r="I15" s="190"/>
      <c r="J15" s="190"/>
    </row>
    <row r="16" spans="1:10" ht="15.75" thickBot="1" x14ac:dyDescent="0.3">
      <c r="B16" s="2"/>
      <c r="C16" s="192" t="s">
        <v>15</v>
      </c>
      <c r="D16" s="193"/>
      <c r="E16" s="133" t="s">
        <v>197</v>
      </c>
      <c r="F16" s="17"/>
      <c r="G16" s="17"/>
    </row>
    <row r="17" spans="2:15" x14ac:dyDescent="0.25">
      <c r="B17" s="2"/>
    </row>
    <row r="18" spans="2:15" x14ac:dyDescent="0.25">
      <c r="B18" s="2" t="s">
        <v>185</v>
      </c>
    </row>
    <row r="19" spans="2:15" ht="28.5" customHeight="1" x14ac:dyDescent="0.25">
      <c r="B19" s="191" t="s">
        <v>144</v>
      </c>
      <c r="C19" s="191"/>
      <c r="D19" s="191"/>
      <c r="E19" s="191"/>
      <c r="F19" s="191"/>
      <c r="G19" s="191"/>
      <c r="H19" s="191"/>
      <c r="I19" s="191"/>
      <c r="J19" s="191"/>
    </row>
    <row r="20" spans="2:15" x14ac:dyDescent="0.25">
      <c r="B20" s="2"/>
    </row>
    <row r="21" spans="2:15" x14ac:dyDescent="0.25">
      <c r="B21" s="2"/>
    </row>
    <row r="22" spans="2:15" x14ac:dyDescent="0.25">
      <c r="B22" s="2"/>
    </row>
    <row r="23" spans="2:15" x14ac:dyDescent="0.25">
      <c r="B23" s="2"/>
      <c r="D23" s="189" t="s">
        <v>16</v>
      </c>
      <c r="E23" s="189"/>
      <c r="F23" s="18"/>
    </row>
    <row r="24" spans="2:15" ht="15.75" thickBot="1" x14ac:dyDescent="0.3">
      <c r="B24" s="2"/>
    </row>
    <row r="25" spans="2:15" x14ac:dyDescent="0.25">
      <c r="D25" s="22" t="s">
        <v>17</v>
      </c>
      <c r="E25" s="23"/>
      <c r="F25" s="23"/>
      <c r="G25" s="24"/>
      <c r="H25" s="24"/>
      <c r="I25" s="24"/>
      <c r="J25" s="25"/>
    </row>
    <row r="26" spans="2:15" ht="60" customHeight="1" x14ac:dyDescent="0.25">
      <c r="D26" s="183" t="s">
        <v>176</v>
      </c>
      <c r="E26" s="184"/>
      <c r="F26" s="184"/>
      <c r="G26" s="184"/>
      <c r="H26" s="184"/>
      <c r="I26" s="184"/>
      <c r="J26" s="185"/>
    </row>
    <row r="27" spans="2:15" ht="58.5" customHeight="1" thickBot="1" x14ac:dyDescent="0.3">
      <c r="D27" s="186" t="s">
        <v>154</v>
      </c>
      <c r="E27" s="187"/>
      <c r="F27" s="187"/>
      <c r="G27" s="187"/>
      <c r="H27" s="187"/>
      <c r="I27" s="187"/>
      <c r="J27" s="188"/>
    </row>
    <row r="28" spans="2:15" ht="15.75" thickBot="1" x14ac:dyDescent="0.3">
      <c r="D28" s="88"/>
      <c r="E28" s="89"/>
      <c r="F28" s="89"/>
      <c r="G28" s="178" t="s">
        <v>173</v>
      </c>
      <c r="H28" s="179"/>
      <c r="I28" s="142" t="s">
        <v>174</v>
      </c>
      <c r="J28" s="143"/>
      <c r="L28" s="180" t="s">
        <v>175</v>
      </c>
      <c r="M28" s="181"/>
      <c r="N28" s="181"/>
      <c r="O28" s="182"/>
    </row>
    <row r="29" spans="2:15" ht="30" x14ac:dyDescent="0.25">
      <c r="D29" s="26"/>
      <c r="E29" s="77" t="s">
        <v>20</v>
      </c>
      <c r="F29" s="78" t="s">
        <v>19</v>
      </c>
      <c r="G29" s="79" t="s">
        <v>10</v>
      </c>
      <c r="H29" s="79" t="s">
        <v>12</v>
      </c>
      <c r="I29" s="79" t="s">
        <v>11</v>
      </c>
      <c r="J29" s="80" t="s">
        <v>128</v>
      </c>
      <c r="L29" s="140" t="s">
        <v>10</v>
      </c>
      <c r="M29" s="79" t="s">
        <v>12</v>
      </c>
      <c r="N29" s="79" t="s">
        <v>11</v>
      </c>
      <c r="O29" s="141" t="s">
        <v>128</v>
      </c>
    </row>
    <row r="30" spans="2:15" x14ac:dyDescent="0.25">
      <c r="D30" s="26"/>
      <c r="E30" s="46" t="s">
        <v>43</v>
      </c>
      <c r="F30" s="19" t="s">
        <v>18</v>
      </c>
      <c r="G30" s="21">
        <f>IF($I$28="Custom",L30,0.02)</f>
        <v>0.02</v>
      </c>
      <c r="H30" s="21">
        <f>IF($I$28="Custom",M30,0.04)</f>
        <v>0.04</v>
      </c>
      <c r="I30" s="21">
        <f>IF($I$28="Custom",N30,-0.02)</f>
        <v>-0.02</v>
      </c>
      <c r="J30" s="28">
        <f>IF($I$28="Custom",O30,-0.04)</f>
        <v>-0.04</v>
      </c>
      <c r="L30" s="135">
        <v>0</v>
      </c>
      <c r="M30" s="134">
        <v>0</v>
      </c>
      <c r="N30" s="134">
        <v>0</v>
      </c>
      <c r="O30" s="136">
        <v>0</v>
      </c>
    </row>
    <row r="31" spans="2:15" ht="30" customHeight="1" x14ac:dyDescent="0.25">
      <c r="D31" s="26"/>
      <c r="E31" s="56" t="s">
        <v>65</v>
      </c>
      <c r="F31" s="41" t="s">
        <v>18</v>
      </c>
      <c r="G31" s="42">
        <f>IF($I$28="Custom",L31,0.03)</f>
        <v>0.03</v>
      </c>
      <c r="H31" s="42">
        <f>IF($I$28="Custom",M31,0.05)</f>
        <v>0.05</v>
      </c>
      <c r="I31" s="42">
        <f>IF($I$28="Custom",N31,-0.03)</f>
        <v>-0.03</v>
      </c>
      <c r="J31" s="43">
        <f>IF($I$28="Custom",O31,-0.05)</f>
        <v>-0.05</v>
      </c>
      <c r="L31" s="135">
        <v>0</v>
      </c>
      <c r="M31" s="134">
        <v>0</v>
      </c>
      <c r="N31" s="134">
        <v>0</v>
      </c>
      <c r="O31" s="136">
        <v>0</v>
      </c>
    </row>
    <row r="32" spans="2:15" x14ac:dyDescent="0.25">
      <c r="D32" s="26"/>
      <c r="E32" s="52" t="s">
        <v>155</v>
      </c>
      <c r="F32" s="19" t="s">
        <v>18</v>
      </c>
      <c r="G32" s="21">
        <f t="shared" ref="G32" si="0">IF($I$28="Custom",L32,0.02)</f>
        <v>0.02</v>
      </c>
      <c r="H32" s="21">
        <f>IF($I$28="Custom",M32,0.04)</f>
        <v>0.04</v>
      </c>
      <c r="I32" s="21">
        <f>IF($I$28="Custom",N32,-0.02)</f>
        <v>-0.02</v>
      </c>
      <c r="J32" s="28">
        <f>IF($I$28="Custom",O32,-0.04)</f>
        <v>-0.04</v>
      </c>
      <c r="L32" s="135">
        <v>0</v>
      </c>
      <c r="M32" s="134">
        <v>0</v>
      </c>
      <c r="N32" s="134">
        <v>0</v>
      </c>
      <c r="O32" s="136">
        <v>0</v>
      </c>
    </row>
    <row r="33" spans="4:15" x14ac:dyDescent="0.25">
      <c r="D33" s="26"/>
      <c r="E33" s="52" t="s">
        <v>156</v>
      </c>
      <c r="F33" s="19" t="s">
        <v>18</v>
      </c>
      <c r="G33" s="21">
        <f>IF($I$28="Custom",L33,0.03)</f>
        <v>0.03</v>
      </c>
      <c r="H33" s="21">
        <f>IF($I$28="Custom",M33,0.05)</f>
        <v>0.05</v>
      </c>
      <c r="I33" s="21">
        <f t="shared" ref="I33:I36" si="1">IF($I$28="Custom",N33,-0.03)</f>
        <v>-0.03</v>
      </c>
      <c r="J33" s="28">
        <f>IF($I$28="Custom",O33,-0.05)</f>
        <v>-0.05</v>
      </c>
      <c r="L33" s="135">
        <v>0</v>
      </c>
      <c r="M33" s="134">
        <v>0</v>
      </c>
      <c r="N33" s="134">
        <v>0</v>
      </c>
      <c r="O33" s="136">
        <v>0</v>
      </c>
    </row>
    <row r="34" spans="4:15" x14ac:dyDescent="0.25">
      <c r="D34" s="26"/>
      <c r="E34" s="52" t="s">
        <v>39</v>
      </c>
      <c r="F34" s="19" t="s">
        <v>18</v>
      </c>
      <c r="G34" s="21">
        <f>IF($I$28="Custom",L34,0.03)</f>
        <v>0.03</v>
      </c>
      <c r="H34" s="21">
        <f>IF($I$28="Custom",M34,0.05)</f>
        <v>0.05</v>
      </c>
      <c r="I34" s="21">
        <f t="shared" si="1"/>
        <v>-0.03</v>
      </c>
      <c r="J34" s="28">
        <f>IF($I$28="Custom",O34,-0.05)</f>
        <v>-0.05</v>
      </c>
      <c r="L34" s="135">
        <v>0</v>
      </c>
      <c r="M34" s="134">
        <v>0</v>
      </c>
      <c r="N34" s="134">
        <v>0</v>
      </c>
      <c r="O34" s="136">
        <v>0</v>
      </c>
    </row>
    <row r="35" spans="4:15" x14ac:dyDescent="0.25">
      <c r="D35" s="26"/>
      <c r="E35" s="52" t="s">
        <v>40</v>
      </c>
      <c r="F35" s="19" t="s">
        <v>18</v>
      </c>
      <c r="G35" s="21">
        <f>IF($I$28="Custom",L35,0.03)</f>
        <v>0.03</v>
      </c>
      <c r="H35" s="21">
        <f>IF($I$28="Custom",M35,0.05)</f>
        <v>0.05</v>
      </c>
      <c r="I35" s="21">
        <f t="shared" si="1"/>
        <v>-0.03</v>
      </c>
      <c r="J35" s="28">
        <f>IF($I$28="Custom",O35,-0.05)</f>
        <v>-0.05</v>
      </c>
      <c r="L35" s="135">
        <v>0</v>
      </c>
      <c r="M35" s="134">
        <v>0</v>
      </c>
      <c r="N35" s="134">
        <v>0</v>
      </c>
      <c r="O35" s="136">
        <v>0</v>
      </c>
    </row>
    <row r="36" spans="4:15" x14ac:dyDescent="0.25">
      <c r="D36" s="26"/>
      <c r="E36" s="52" t="s">
        <v>41</v>
      </c>
      <c r="F36" s="19" t="s">
        <v>18</v>
      </c>
      <c r="G36" s="21">
        <f>IF($I$28="Custom",L36,0.03)</f>
        <v>0.03</v>
      </c>
      <c r="H36" s="21">
        <f>IF($I$28="Custom",M36,0.05)</f>
        <v>0.05</v>
      </c>
      <c r="I36" s="21">
        <f t="shared" si="1"/>
        <v>-0.03</v>
      </c>
      <c r="J36" s="28">
        <f>IF($I$28="Custom",O36,-0.05)</f>
        <v>-0.05</v>
      </c>
      <c r="L36" s="135">
        <v>0</v>
      </c>
      <c r="M36" s="134">
        <v>0</v>
      </c>
      <c r="N36" s="134">
        <v>0</v>
      </c>
      <c r="O36" s="136">
        <v>0</v>
      </c>
    </row>
    <row r="37" spans="4:15" ht="15.75" thickBot="1" x14ac:dyDescent="0.3">
      <c r="D37" s="29"/>
      <c r="E37" s="90" t="s">
        <v>23</v>
      </c>
      <c r="F37" s="91" t="s">
        <v>18</v>
      </c>
      <c r="G37" s="30">
        <f>IF($I$28="Custom",L37,0.05)</f>
        <v>0.05</v>
      </c>
      <c r="H37" s="30">
        <f>IF($I$28="Custom",M37,0.1)</f>
        <v>0.1</v>
      </c>
      <c r="I37" s="30">
        <f>IF($I$28="Custom",N37,-0.05)</f>
        <v>-0.05</v>
      </c>
      <c r="J37" s="31">
        <f>IF($I$28="Custom",O37,-0.1)</f>
        <v>-0.1</v>
      </c>
      <c r="L37" s="137">
        <v>0</v>
      </c>
      <c r="M37" s="138">
        <v>0</v>
      </c>
      <c r="N37" s="138">
        <v>0</v>
      </c>
      <c r="O37" s="139">
        <v>0</v>
      </c>
    </row>
    <row r="38" spans="4:15" x14ac:dyDescent="0.25">
      <c r="E38" s="76"/>
    </row>
    <row r="39" spans="4:15" x14ac:dyDescent="0.25">
      <c r="E39" s="76"/>
    </row>
    <row r="41" spans="4:15" ht="15.75" thickBot="1" x14ac:dyDescent="0.3"/>
    <row r="42" spans="4:15" x14ac:dyDescent="0.25">
      <c r="D42" s="22" t="s">
        <v>35</v>
      </c>
      <c r="E42" s="23"/>
      <c r="F42" s="23"/>
      <c r="G42" s="24"/>
      <c r="H42" s="24"/>
      <c r="I42" s="24"/>
      <c r="J42" s="25"/>
    </row>
    <row r="43" spans="4:15" ht="59.25" customHeight="1" x14ac:dyDescent="0.25">
      <c r="D43" s="183" t="s">
        <v>176</v>
      </c>
      <c r="E43" s="184"/>
      <c r="F43" s="184"/>
      <c r="G43" s="184"/>
      <c r="H43" s="184"/>
      <c r="I43" s="184"/>
      <c r="J43" s="185"/>
    </row>
    <row r="44" spans="4:15" ht="58.5" customHeight="1" thickBot="1" x14ac:dyDescent="0.3">
      <c r="D44" s="186" t="s">
        <v>154</v>
      </c>
      <c r="E44" s="187"/>
      <c r="F44" s="187"/>
      <c r="G44" s="187"/>
      <c r="H44" s="187"/>
      <c r="I44" s="187"/>
      <c r="J44" s="188"/>
    </row>
    <row r="45" spans="4:15" ht="15.75" thickBot="1" x14ac:dyDescent="0.3">
      <c r="D45" s="37"/>
      <c r="E45" s="38"/>
      <c r="F45" s="38"/>
      <c r="G45" s="178" t="s">
        <v>173</v>
      </c>
      <c r="H45" s="179"/>
      <c r="I45" s="144" t="s">
        <v>174</v>
      </c>
      <c r="J45" s="143"/>
      <c r="L45" s="180" t="s">
        <v>175</v>
      </c>
      <c r="M45" s="181"/>
      <c r="N45" s="181"/>
      <c r="O45" s="182"/>
    </row>
    <row r="46" spans="4:15" ht="30" x14ac:dyDescent="0.25">
      <c r="D46" s="26"/>
      <c r="E46" s="77" t="s">
        <v>36</v>
      </c>
      <c r="F46" s="78" t="s">
        <v>19</v>
      </c>
      <c r="G46" s="79" t="s">
        <v>10</v>
      </c>
      <c r="H46" s="79" t="s">
        <v>12</v>
      </c>
      <c r="I46" s="79" t="s">
        <v>11</v>
      </c>
      <c r="J46" s="80" t="s">
        <v>128</v>
      </c>
      <c r="L46" s="140" t="s">
        <v>10</v>
      </c>
      <c r="M46" s="79" t="s">
        <v>12</v>
      </c>
      <c r="N46" s="79" t="s">
        <v>11</v>
      </c>
      <c r="O46" s="141" t="s">
        <v>128</v>
      </c>
    </row>
    <row r="47" spans="4:15" x14ac:dyDescent="0.25">
      <c r="D47" s="26"/>
      <c r="E47" s="53" t="s">
        <v>129</v>
      </c>
      <c r="F47" s="19"/>
      <c r="G47" s="20"/>
      <c r="H47" s="20"/>
      <c r="I47" s="20"/>
      <c r="J47" s="27"/>
      <c r="L47" s="145"/>
      <c r="M47" s="20"/>
      <c r="N47" s="20"/>
      <c r="O47" s="27"/>
    </row>
    <row r="48" spans="4:15" x14ac:dyDescent="0.25">
      <c r="D48" s="26"/>
      <c r="E48" s="51" t="s">
        <v>140</v>
      </c>
      <c r="F48" s="41" t="s">
        <v>18</v>
      </c>
      <c r="G48" s="42">
        <f>IF($I$45="Custom",L48,0.03)</f>
        <v>0.03</v>
      </c>
      <c r="H48" s="42">
        <f>IF($I$45="Custom",M48,0.05)</f>
        <v>0.05</v>
      </c>
      <c r="I48" s="42">
        <f>IF($I$45="Custom",N48,-0.03)</f>
        <v>-0.03</v>
      </c>
      <c r="J48" s="43">
        <f>IF($I$45="Custom",O48,-0.05)</f>
        <v>-0.05</v>
      </c>
      <c r="L48" s="146">
        <v>0</v>
      </c>
      <c r="M48" s="42">
        <v>0</v>
      </c>
      <c r="N48" s="42">
        <v>0</v>
      </c>
      <c r="O48" s="43">
        <v>0</v>
      </c>
    </row>
    <row r="49" spans="4:15" x14ac:dyDescent="0.25">
      <c r="D49" s="26"/>
      <c r="E49" s="52" t="s">
        <v>145</v>
      </c>
      <c r="F49" s="41" t="s">
        <v>18</v>
      </c>
      <c r="G49" s="42">
        <f t="shared" ref="G49:G56" si="2">IF($I$45="Custom",L49,0.03)</f>
        <v>0.03</v>
      </c>
      <c r="H49" s="42">
        <f t="shared" ref="H49:H56" si="3">IF($I$45="Custom",M49,0.05)</f>
        <v>0.05</v>
      </c>
      <c r="I49" s="42">
        <f t="shared" ref="I49:I56" si="4">IF($I$45="Custom",N49,-0.03)</f>
        <v>-0.03</v>
      </c>
      <c r="J49" s="43">
        <f t="shared" ref="J49:J56" si="5">IF($I$45="Custom",O49,-0.05)</f>
        <v>-0.05</v>
      </c>
      <c r="L49" s="146">
        <v>0</v>
      </c>
      <c r="M49" s="42">
        <v>0</v>
      </c>
      <c r="N49" s="42">
        <v>0</v>
      </c>
      <c r="O49" s="43">
        <v>0</v>
      </c>
    </row>
    <row r="50" spans="4:15" x14ac:dyDescent="0.25">
      <c r="D50" s="26"/>
      <c r="E50" s="52" t="s">
        <v>146</v>
      </c>
      <c r="F50" s="41" t="s">
        <v>18</v>
      </c>
      <c r="G50" s="42">
        <f t="shared" si="2"/>
        <v>0.03</v>
      </c>
      <c r="H50" s="42">
        <f t="shared" si="3"/>
        <v>0.05</v>
      </c>
      <c r="I50" s="42">
        <f t="shared" si="4"/>
        <v>-0.03</v>
      </c>
      <c r="J50" s="43">
        <f t="shared" si="5"/>
        <v>-0.05</v>
      </c>
      <c r="L50" s="146">
        <v>0</v>
      </c>
      <c r="M50" s="42">
        <v>0</v>
      </c>
      <c r="N50" s="42">
        <v>0</v>
      </c>
      <c r="O50" s="43">
        <v>0</v>
      </c>
    </row>
    <row r="51" spans="4:15" x14ac:dyDescent="0.25">
      <c r="D51" s="26"/>
      <c r="E51" s="52" t="s">
        <v>147</v>
      </c>
      <c r="F51" s="41" t="s">
        <v>18</v>
      </c>
      <c r="G51" s="42">
        <f t="shared" si="2"/>
        <v>0.03</v>
      </c>
      <c r="H51" s="42">
        <f t="shared" si="3"/>
        <v>0.05</v>
      </c>
      <c r="I51" s="42">
        <f t="shared" si="4"/>
        <v>-0.03</v>
      </c>
      <c r="J51" s="43">
        <f t="shared" si="5"/>
        <v>-0.05</v>
      </c>
      <c r="L51" s="146">
        <v>0</v>
      </c>
      <c r="M51" s="42">
        <v>0</v>
      </c>
      <c r="N51" s="42">
        <v>0</v>
      </c>
      <c r="O51" s="43">
        <v>0</v>
      </c>
    </row>
    <row r="52" spans="4:15" x14ac:dyDescent="0.25">
      <c r="D52" s="26"/>
      <c r="E52" s="52" t="s">
        <v>41</v>
      </c>
      <c r="F52" s="41" t="s">
        <v>18</v>
      </c>
      <c r="G52" s="42">
        <f t="shared" si="2"/>
        <v>0.03</v>
      </c>
      <c r="H52" s="42">
        <f t="shared" si="3"/>
        <v>0.05</v>
      </c>
      <c r="I52" s="42">
        <f t="shared" si="4"/>
        <v>-0.03</v>
      </c>
      <c r="J52" s="43">
        <f t="shared" si="5"/>
        <v>-0.05</v>
      </c>
      <c r="L52" s="146">
        <v>0</v>
      </c>
      <c r="M52" s="42">
        <v>0</v>
      </c>
      <c r="N52" s="42">
        <v>0</v>
      </c>
      <c r="O52" s="43">
        <v>0</v>
      </c>
    </row>
    <row r="53" spans="4:15" x14ac:dyDescent="0.25">
      <c r="D53" s="26"/>
      <c r="E53" s="62"/>
      <c r="F53" s="41"/>
      <c r="G53" s="42"/>
      <c r="H53" s="42"/>
      <c r="I53" s="42"/>
      <c r="J53" s="43"/>
      <c r="L53" s="147"/>
      <c r="M53" s="44"/>
      <c r="N53" s="44"/>
      <c r="O53" s="45"/>
    </row>
    <row r="54" spans="4:15" x14ac:dyDescent="0.25">
      <c r="D54" s="26"/>
      <c r="E54" s="53" t="s">
        <v>130</v>
      </c>
      <c r="F54" s="41"/>
      <c r="G54" s="42"/>
      <c r="H54" s="42"/>
      <c r="I54" s="42"/>
      <c r="J54" s="43"/>
      <c r="L54" s="146"/>
      <c r="M54" s="42"/>
      <c r="N54" s="42"/>
      <c r="O54" s="43"/>
    </row>
    <row r="55" spans="4:15" ht="30" x14ac:dyDescent="0.25">
      <c r="D55" s="26"/>
      <c r="E55" s="52" t="s">
        <v>148</v>
      </c>
      <c r="F55" s="41" t="s">
        <v>18</v>
      </c>
      <c r="G55" s="42">
        <f t="shared" si="2"/>
        <v>0.03</v>
      </c>
      <c r="H55" s="42">
        <f t="shared" si="3"/>
        <v>0.05</v>
      </c>
      <c r="I55" s="42">
        <f t="shared" si="4"/>
        <v>-0.03</v>
      </c>
      <c r="J55" s="43">
        <f t="shared" si="5"/>
        <v>-0.05</v>
      </c>
      <c r="L55" s="146">
        <v>0</v>
      </c>
      <c r="M55" s="42">
        <v>0</v>
      </c>
      <c r="N55" s="42">
        <v>0</v>
      </c>
      <c r="O55" s="43">
        <v>0</v>
      </c>
    </row>
    <row r="56" spans="4:15" x14ac:dyDescent="0.25">
      <c r="D56" s="26"/>
      <c r="E56" s="51" t="s">
        <v>140</v>
      </c>
      <c r="F56" s="41" t="s">
        <v>18</v>
      </c>
      <c r="G56" s="42">
        <f t="shared" si="2"/>
        <v>0.03</v>
      </c>
      <c r="H56" s="42">
        <f t="shared" si="3"/>
        <v>0.05</v>
      </c>
      <c r="I56" s="42">
        <f t="shared" si="4"/>
        <v>-0.03</v>
      </c>
      <c r="J56" s="43">
        <f t="shared" si="5"/>
        <v>-0.05</v>
      </c>
      <c r="L56" s="146">
        <v>0</v>
      </c>
      <c r="M56" s="42">
        <v>0</v>
      </c>
      <c r="N56" s="42">
        <v>0</v>
      </c>
      <c r="O56" s="43">
        <v>0</v>
      </c>
    </row>
    <row r="57" spans="4:15" ht="15.75" thickBot="1" x14ac:dyDescent="0.3">
      <c r="D57" s="83"/>
      <c r="E57" s="81" t="s">
        <v>149</v>
      </c>
      <c r="F57" s="82" t="s">
        <v>18</v>
      </c>
      <c r="G57" s="84">
        <f>IF($I$45="Custom",L57,0.05)</f>
        <v>0.05</v>
      </c>
      <c r="H57" s="84">
        <f>IF($I$45="Custom",M57,0.1)</f>
        <v>0.1</v>
      </c>
      <c r="I57" s="84">
        <f>IF($I$45="Custom",N57,-0.05)</f>
        <v>-0.05</v>
      </c>
      <c r="J57" s="85">
        <f>IF($I$45="Custom",O57,-0.1)</f>
        <v>-0.1</v>
      </c>
      <c r="L57" s="148">
        <v>0</v>
      </c>
      <c r="M57" s="84">
        <v>0</v>
      </c>
      <c r="N57" s="84">
        <v>0</v>
      </c>
      <c r="O57" s="85">
        <v>0</v>
      </c>
    </row>
  </sheetData>
  <mergeCells count="18">
    <mergeCell ref="D23:E23"/>
    <mergeCell ref="D27:J27"/>
    <mergeCell ref="B15:J15"/>
    <mergeCell ref="B19:J19"/>
    <mergeCell ref="C16:D16"/>
    <mergeCell ref="B11:F11"/>
    <mergeCell ref="B3:J3"/>
    <mergeCell ref="B7:J7"/>
    <mergeCell ref="B8:J8"/>
    <mergeCell ref="B9:J9"/>
    <mergeCell ref="B10:J10"/>
    <mergeCell ref="G28:H28"/>
    <mergeCell ref="L28:O28"/>
    <mergeCell ref="G45:H45"/>
    <mergeCell ref="L45:O45"/>
    <mergeCell ref="D26:J26"/>
    <mergeCell ref="D43:J43"/>
    <mergeCell ref="D44:J44"/>
  </mergeCells>
  <dataValidations count="2">
    <dataValidation type="list" allowBlank="1" showInputMessage="1" showErrorMessage="1" sqref="E16">
      <formula1>GeoLookup</formula1>
    </dataValidation>
    <dataValidation type="list" allowBlank="1" showInputMessage="1" showErrorMessage="1" sqref="I28 I45">
      <formula1>"Default,Custom"</formula1>
    </dataValidation>
  </dataValidations>
  <pageMargins left="0.7" right="0.7" top="0.75" bottom="0.75" header="0.3" footer="0.3"/>
  <pageSetup scale="73" fitToHeight="2" orientation="portrait" r:id="rId1"/>
  <ignoredErrors>
    <ignoredError sqref="G31:J3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24"/>
  <sheetViews>
    <sheetView topLeftCell="A3" workbookViewId="0">
      <selection activeCell="E35" sqref="E35"/>
    </sheetView>
  </sheetViews>
  <sheetFormatPr defaultRowHeight="15" x14ac:dyDescent="0.25"/>
  <cols>
    <col min="1" max="1" width="21" customWidth="1"/>
    <col min="2" max="2" width="18.28515625" customWidth="1"/>
    <col min="3" max="6" width="20.42578125" customWidth="1"/>
    <col min="7" max="7" width="7.140625" bestFit="1" customWidth="1"/>
    <col min="8" max="8" width="12.5703125" bestFit="1" customWidth="1"/>
    <col min="9" max="9" width="6.7109375" bestFit="1" customWidth="1"/>
    <col min="10" max="10" width="16.28515625" bestFit="1" customWidth="1"/>
  </cols>
  <sheetData>
    <row r="1" spans="1:6" hidden="1" x14ac:dyDescent="0.25">
      <c r="A1" s="2"/>
      <c r="B1" s="2"/>
      <c r="C1" s="2"/>
      <c r="D1" s="2"/>
      <c r="E1" s="2"/>
      <c r="F1" s="2"/>
    </row>
    <row r="2" spans="1:6" hidden="1" x14ac:dyDescent="0.25">
      <c r="A2" s="2"/>
      <c r="B2" s="2"/>
      <c r="C2" s="2"/>
      <c r="D2" s="2"/>
      <c r="E2" s="2"/>
      <c r="F2" s="2"/>
    </row>
    <row r="3" spans="1:6" x14ac:dyDescent="0.25">
      <c r="A3" s="2" t="s">
        <v>13</v>
      </c>
      <c r="B3" s="2" t="s">
        <v>4</v>
      </c>
      <c r="C3" s="2"/>
      <c r="D3" s="2"/>
      <c r="E3" s="2"/>
      <c r="F3" s="2"/>
    </row>
    <row r="4" spans="1:6" ht="75.75" customHeight="1" thickBot="1" x14ac:dyDescent="0.3">
      <c r="A4" s="194" t="s">
        <v>157</v>
      </c>
      <c r="B4" s="194"/>
      <c r="C4" s="194"/>
      <c r="D4" s="194"/>
      <c r="E4" s="194"/>
      <c r="F4" s="3"/>
    </row>
    <row r="5" spans="1:6" ht="15.75" thickBot="1" x14ac:dyDescent="0.3">
      <c r="A5" s="2"/>
      <c r="B5" s="3"/>
      <c r="C5" s="3"/>
      <c r="D5" s="3"/>
      <c r="E5" s="10" t="s">
        <v>9</v>
      </c>
      <c r="F5" s="3"/>
    </row>
    <row r="6" spans="1:6" x14ac:dyDescent="0.25">
      <c r="A6" s="13"/>
      <c r="B6" s="14" t="s">
        <v>5</v>
      </c>
      <c r="C6" s="15" t="s">
        <v>6</v>
      </c>
      <c r="D6" s="2"/>
      <c r="E6" s="11" t="s">
        <v>10</v>
      </c>
      <c r="F6" s="2"/>
    </row>
    <row r="7" spans="1:6" ht="15.75" thickBot="1" x14ac:dyDescent="0.3">
      <c r="A7" s="129" t="s">
        <v>7</v>
      </c>
      <c r="B7" s="131" t="str">
        <f>C11</f>
        <v>For Tract 30111000300</v>
      </c>
      <c r="C7" s="130" t="s">
        <v>3</v>
      </c>
      <c r="D7" s="2"/>
      <c r="E7" s="12" t="s">
        <v>12</v>
      </c>
      <c r="F7" s="2"/>
    </row>
    <row r="8" spans="1:6" x14ac:dyDescent="0.25">
      <c r="A8" s="2"/>
      <c r="B8" s="2"/>
      <c r="C8" s="2"/>
      <c r="D8" s="2"/>
      <c r="E8" s="74" t="s">
        <v>11</v>
      </c>
      <c r="F8" s="9"/>
    </row>
    <row r="9" spans="1:6" ht="15.75" thickBot="1" x14ac:dyDescent="0.3">
      <c r="A9" s="2"/>
      <c r="B9" s="2"/>
      <c r="C9" s="2"/>
      <c r="D9" s="2"/>
      <c r="E9" s="75" t="s">
        <v>128</v>
      </c>
    </row>
    <row r="10" spans="1:6" ht="15.75" thickBot="1" x14ac:dyDescent="0.3"/>
    <row r="11" spans="1:6" x14ac:dyDescent="0.25">
      <c r="A11" s="33"/>
      <c r="B11" s="126" t="s">
        <v>8</v>
      </c>
      <c r="C11" s="79" t="str">
        <f>Control_Panel!E16</f>
        <v>For Tract 30111000300</v>
      </c>
      <c r="D11" s="127"/>
      <c r="E11" s="79"/>
      <c r="F11" s="128" t="s">
        <v>3</v>
      </c>
    </row>
    <row r="12" spans="1:6" x14ac:dyDescent="0.25">
      <c r="A12" s="47" t="s">
        <v>42</v>
      </c>
      <c r="B12" s="48"/>
      <c r="C12" s="48"/>
      <c r="D12" s="49"/>
      <c r="E12" s="48"/>
      <c r="F12" s="50"/>
    </row>
    <row r="13" spans="1:6" x14ac:dyDescent="0.25">
      <c r="A13" s="46" t="s">
        <v>140</v>
      </c>
      <c r="B13" s="32" t="str">
        <f>IF(C13-HLOOKUP($C$7,$C$11:$F$24,3,FALSE)&gt;Control_Panel!H30,"Much Higher",IF(C13-HLOOKUP($C$7,$C$11:$F$24,3,FALSE)&gt;Control_Panel!G30,"Higher",IF(C13-HLOOKUP($C$7,$C$11:$F$24,3,FALSE)&lt;Control_Panel!J30,"Much Lower",IF(C13-HLOOKUP($C$7,$C$11:$F$24,3,FALSE)&lt;Control_Panel!I30,"Lower"," "))))</f>
        <v xml:space="preserve"> </v>
      </c>
      <c r="C13" s="93">
        <f>HLOOKUP(C$11,Data!$B$54:$P$67,3,FALSE)</f>
        <v>7.7399999999999997E-2</v>
      </c>
      <c r="D13" s="93">
        <f>HLOOKUP(D$11,Data!$B$54:$P$67,3,FALSE)</f>
        <v>0</v>
      </c>
      <c r="E13" s="93">
        <f>HLOOKUP(E$11,Data!$B$54:$P$67,3,FALSE)</f>
        <v>0</v>
      </c>
      <c r="F13" s="94">
        <f>HLOOKUP(F$11,Data!$B$54:$P$67,3,FALSE)</f>
        <v>9.2899999999999996E-2</v>
      </c>
    </row>
    <row r="14" spans="1:6" ht="30" x14ac:dyDescent="0.25">
      <c r="A14" s="56" t="s">
        <v>65</v>
      </c>
      <c r="B14" s="32" t="str">
        <f>IF(C14-HLOOKUP($C$7,$C$11:$F$24,4,FALSE)&gt;Control_Panel!H31,"Much Higher",IF(C14-HLOOKUP($C$7,$C$11:$F$24,4,FALSE)&gt;Control_Panel!G31,"Higher",IF(C14-HLOOKUP($C$7,$C$11:$F$24,4,FALSE)&lt;Control_Panel!J31,"Much Lower",IF(C14-HLOOKUP($C$7,$C$11:$F$24,4,FALSE)&lt;Control_Panel!I31,"Lower"," "))))</f>
        <v xml:space="preserve"> </v>
      </c>
      <c r="C14" s="93">
        <f>HLOOKUP(C$11,Data!$B$54:$P$67,4,FALSE)</f>
        <v>0.47754899528652939</v>
      </c>
      <c r="D14" s="93" t="e">
        <f>HLOOKUP(D$11,Data!$B$54:$P$67,4,FALSE)</f>
        <v>#DIV/0!</v>
      </c>
      <c r="E14" s="93" t="e">
        <f>HLOOKUP(E$11,Data!$B$54:$P$67,4,FALSE)</f>
        <v>#DIV/0!</v>
      </c>
      <c r="F14" s="94">
        <f>HLOOKUP(F$11,Data!$B$54:$P$67,4,FALSE)</f>
        <v>0.50635264827768534</v>
      </c>
    </row>
    <row r="15" spans="1:6" ht="30" x14ac:dyDescent="0.25">
      <c r="A15" s="56" t="s">
        <v>131</v>
      </c>
      <c r="B15" s="48" t="s">
        <v>24</v>
      </c>
      <c r="C15" s="95">
        <f>HLOOKUP(C$11,Data!$B$54:$P$67,5,FALSE)</f>
        <v>19.350000000000001</v>
      </c>
      <c r="D15" s="95">
        <f>HLOOKUP(D$11,Data!$B$54:$P$67,5,FALSE)</f>
        <v>0</v>
      </c>
      <c r="E15" s="95">
        <f>HLOOKUP(E$11,Data!$B$54:$P$67,5,FALSE)</f>
        <v>0</v>
      </c>
      <c r="F15" s="96">
        <f>HLOOKUP(F$11,Data!$B$54:$P$67,5,FALSE)</f>
        <v>25.44</v>
      </c>
    </row>
    <row r="16" spans="1:6" x14ac:dyDescent="0.25">
      <c r="A16" s="46" t="s">
        <v>37</v>
      </c>
      <c r="B16" s="48" t="s">
        <v>24</v>
      </c>
      <c r="C16" s="97">
        <f>HLOOKUP(C$11,Data!$B$54:$P$67,6,FALSE)</f>
        <v>4031</v>
      </c>
      <c r="D16" s="97">
        <f>HLOOKUP(D$11,Data!$B$54:$P$67,6,FALSE)</f>
        <v>0</v>
      </c>
      <c r="E16" s="97">
        <f>HLOOKUP(E$11,Data!$B$54:$P$67,6,FALSE)</f>
        <v>0</v>
      </c>
      <c r="F16" s="98">
        <f>HLOOKUP(F$11,Data!$B$54:$P$67,6,FALSE)</f>
        <v>309138711</v>
      </c>
    </row>
    <row r="17" spans="1:6" x14ac:dyDescent="0.25">
      <c r="A17" s="51" t="s">
        <v>23</v>
      </c>
      <c r="B17" s="32" t="str">
        <f>IF(C17-HLOOKUP($C$7,$C$11:$F$24,7,FALSE)&gt;Control_Panel!H37,"Much Higher",IF(C17-HLOOKUP($C$7,$C$11:$F$24,7,FALSE)&gt;Control_Panel!G37,"Higher",IF(C17-HLOOKUP($C$7,$C$11:$F$24,7,FALSE)&lt;Control_Panel!J37,"Much Lower",IF(C17-HLOOKUP($C$7,$C$11:$F$24,7,FALSE)&lt;Control_Panel!I37,"Lower"," "))))</f>
        <v>Much Lower</v>
      </c>
      <c r="C17" s="93">
        <f>HLOOKUP(C$11,Data!$B$54:$P$67,7,FALSE)</f>
        <v>0.47468235116691176</v>
      </c>
      <c r="D17" s="93">
        <f>HLOOKUP(D$11,Data!$B$54:$P$67,7,FALSE)</f>
        <v>0</v>
      </c>
      <c r="E17" s="93">
        <f>HLOOKUP(E$11,Data!$B$54:$P$67,7,FALSE)</f>
        <v>0</v>
      </c>
      <c r="F17" s="94">
        <f>HLOOKUP(F$11,Data!$B$54:$P$67,7,FALSE)</f>
        <v>1</v>
      </c>
    </row>
    <row r="18" spans="1:6" x14ac:dyDescent="0.25">
      <c r="A18" s="35"/>
      <c r="B18" s="48"/>
      <c r="C18" s="93"/>
      <c r="D18" s="93"/>
      <c r="E18" s="93"/>
      <c r="F18" s="94"/>
    </row>
    <row r="19" spans="1:6" x14ac:dyDescent="0.25">
      <c r="A19" s="53" t="s">
        <v>45</v>
      </c>
      <c r="B19" s="48"/>
      <c r="C19" s="93"/>
      <c r="D19" s="93"/>
      <c r="E19" s="93"/>
      <c r="F19" s="94"/>
    </row>
    <row r="20" spans="1:6" x14ac:dyDescent="0.25">
      <c r="A20" s="52" t="s">
        <v>155</v>
      </c>
      <c r="B20" s="32" t="str">
        <f>IF(C20-HLOOKUP($C$7,$C$11:$F$24,10,FALSE)&gt;Control_Panel!H32,"Much Higher",IF(C20-HLOOKUP($C$7,$C$11:$F$24,10,FALSE)&gt;Control_Panel!G32,"Higher",IF(C20-HLOOKUP($C$7,$C$11:$F$24,10,FALSE)&lt;Control_Panel!J32,"Much Lower",IF(C20-HLOOKUP($C$7,$C$11:$F$24,10,FALSE)&lt;Control_Panel!I32,"Lower"," "))))</f>
        <v>Lower</v>
      </c>
      <c r="C20" s="93">
        <f>HLOOKUP(C$11,Data!$B$54:$P$67,10,FALSE)</f>
        <v>7.8600000000000003E-2</v>
      </c>
      <c r="D20" s="93">
        <f>HLOOKUP(D$11,Data!$B$54:$P$67,10,FALSE)</f>
        <v>0</v>
      </c>
      <c r="E20" s="93">
        <f>HLOOKUP(E$11,Data!$B$54:$P$67,10,FALSE)</f>
        <v>0</v>
      </c>
      <c r="F20" s="94">
        <f>HLOOKUP(F$11,Data!$B$54:$P$67,10,FALSE)</f>
        <v>9.9700000000000011E-2</v>
      </c>
    </row>
    <row r="21" spans="1:6" x14ac:dyDescent="0.25">
      <c r="A21" s="52" t="s">
        <v>156</v>
      </c>
      <c r="B21" s="32" t="str">
        <f>IF(C21-HLOOKUP($C$7,$C$11:$F$24,11,FALSE)&gt;Control_Panel!H33,"Much Higher",IF(C21-HLOOKUP($C$7,$C$11:$F$24,11,FALSE)&gt;Control_Panel!G33,"Higher",IF(C21-HLOOKUP($C$7,$C$11:$F$24,11,FALSE)&lt;Control_Panel!J33,"Much Lower",IF(C21-HLOOKUP($C$7,$C$11:$F$24,11,FALSE)&lt;Control_Panel!I33,"Lower"," "))))</f>
        <v>Much Higher</v>
      </c>
      <c r="C21" s="93">
        <f>HLOOKUP(C$11,Data!$B$54:$P$67,11,FALSE)</f>
        <v>0.61049999999999993</v>
      </c>
      <c r="D21" s="93">
        <f>HLOOKUP(D$11,Data!$B$54:$P$67,11,FALSE)</f>
        <v>0</v>
      </c>
      <c r="E21" s="93">
        <f>HLOOKUP(E$11,Data!$B$54:$P$67,11,FALSE)</f>
        <v>0</v>
      </c>
      <c r="F21" s="94">
        <f>HLOOKUP(F$11,Data!$B$54:$P$67,11,FALSE)</f>
        <v>0.52939999999999998</v>
      </c>
    </row>
    <row r="22" spans="1:6" x14ac:dyDescent="0.25">
      <c r="A22" s="52" t="s">
        <v>39</v>
      </c>
      <c r="B22" s="32" t="str">
        <f>IF(C22-HLOOKUP($C$7,$C$11:$F$24,12,FALSE)&gt;Control_Panel!H34,"Much Higher",IF(C22-HLOOKUP($C$7,$C$11:$F$24,12,FALSE)&gt;Control_Panel!G34,"Higher",IF(C22-HLOOKUP($C$7,$C$11:$F$24,12,FALSE)&lt;Control_Panel!J34,"Much Lower",IF(C22-HLOOKUP($C$7,$C$11:$F$24,12,FALSE)&lt;Control_Panel!I34,"Lower"," "))))</f>
        <v>Much Higher</v>
      </c>
      <c r="C22" s="93">
        <f>HLOOKUP(C$11,Data!$B$54:$P$67,12,FALSE)</f>
        <v>0.60185185185185186</v>
      </c>
      <c r="D22" s="93" t="e">
        <f>HLOOKUP(D$11,Data!$B$54:$P$67,12,FALSE)</f>
        <v>#DIV/0!</v>
      </c>
      <c r="E22" s="93" t="e">
        <f>HLOOKUP(E$11,Data!$B$54:$P$67,12,FALSE)</f>
        <v>#DIV/0!</v>
      </c>
      <c r="F22" s="94">
        <f>HLOOKUP(F$11,Data!$B$54:$P$67,12,FALSE)</f>
        <v>0.42945159045086678</v>
      </c>
    </row>
    <row r="23" spans="1:6" x14ac:dyDescent="0.25">
      <c r="A23" s="52" t="s">
        <v>40</v>
      </c>
      <c r="B23" s="32" t="str">
        <f>IF(C23-HLOOKUP($C$7,$C$11:$F$24,13,FALSE)&gt;Control_Panel!H35,"Much Higher",IF(C23-HLOOKUP($C$7,$C$11:$F$24,13,FALSE)&gt;Control_Panel!G35,"Higher",IF(C23-HLOOKUP($C$7,$C$11:$F$24,13,FALSE)&lt;Control_Panel!J35,"Much Lower",IF(C23-HLOOKUP($C$7,$C$11:$F$24,13,FALSE)&lt;Control_Panel!I35,"Lower"," "))))</f>
        <v xml:space="preserve"> </v>
      </c>
      <c r="C23" s="93">
        <f>HLOOKUP(C$11,Data!$B$54:$P$67,13,FALSE)</f>
        <v>0.30108556832694766</v>
      </c>
      <c r="D23" s="93" t="e">
        <f>HLOOKUP(D$11,Data!$B$54:$P$67,13,FALSE)</f>
        <v>#DIV/0!</v>
      </c>
      <c r="E23" s="93" t="e">
        <f>HLOOKUP(E$11,Data!$B$54:$P$67,13,FALSE)</f>
        <v>#DIV/0!</v>
      </c>
      <c r="F23" s="94">
        <f>HLOOKUP(F$11,Data!$B$54:$P$67,13,FALSE)</f>
        <v>0.310788258143053</v>
      </c>
    </row>
    <row r="24" spans="1:6" ht="15.75" thickBot="1" x14ac:dyDescent="0.3">
      <c r="A24" s="90" t="s">
        <v>41</v>
      </c>
      <c r="B24" s="36" t="str">
        <f>IF(C24-HLOOKUP($C$7,$C$11:$F$24,14,FALSE)&gt;Control_Panel!H36,"Much Higher",IF(C24-HLOOKUP($C$7,$C$11:$F$24,14,FALSE)&gt;Control_Panel!G36,"Higher",IF(C24-HLOOKUP($C$7,$C$11:$F$24,14,FALSE)&lt;Control_Panel!J36,"Much Lower",IF(C24-HLOOKUP($C$7,$C$11:$F$24,14,FALSE)&lt;Control_Panel!I36,"Lower"," "))))</f>
        <v>Much Lower</v>
      </c>
      <c r="C24" s="99">
        <f>HLOOKUP(C$11,Data!$B$54:$P$67,14,FALSE)</f>
        <v>9.7062579821200506E-2</v>
      </c>
      <c r="D24" s="99" t="e">
        <f>HLOOKUP(D$11,Data!$B$54:$P$67,14,FALSE)</f>
        <v>#DIV/0!</v>
      </c>
      <c r="E24" s="99" t="e">
        <f>HLOOKUP(E$11,Data!$B$54:$P$67,14,FALSE)</f>
        <v>#DIV/0!</v>
      </c>
      <c r="F24" s="100">
        <f>HLOOKUP(F$11,Data!$B$54:$P$67,14,FALSE)</f>
        <v>0.25976015140608016</v>
      </c>
    </row>
  </sheetData>
  <mergeCells count="1">
    <mergeCell ref="A4:E4"/>
  </mergeCells>
  <conditionalFormatting sqref="F11:F24">
    <cfRule type="expression" dxfId="13" priority="7">
      <formula>$F$11=$C$7</formula>
    </cfRule>
  </conditionalFormatting>
  <conditionalFormatting sqref="E11:E24">
    <cfRule type="expression" dxfId="12" priority="6">
      <formula>$E$11=$C$7</formula>
    </cfRule>
  </conditionalFormatting>
  <conditionalFormatting sqref="D11:D24">
    <cfRule type="expression" dxfId="11" priority="5">
      <formula>$D$11=$C$7</formula>
    </cfRule>
  </conditionalFormatting>
  <conditionalFormatting sqref="C13:C24">
    <cfRule type="expression" dxfId="10" priority="1">
      <formula>LEFT(B13,6)="Much L"</formula>
    </cfRule>
    <cfRule type="expression" dxfId="9" priority="2">
      <formula>LEFT(B13,6)="Much H"</formula>
    </cfRule>
    <cfRule type="expression" dxfId="8" priority="3">
      <formula>LEFT(B13)="L"</formula>
    </cfRule>
    <cfRule type="expression" dxfId="7" priority="4">
      <formula>LEFT(B13)="H"</formula>
    </cfRule>
  </conditionalFormatting>
  <dataValidations count="2">
    <dataValidation type="list" showInputMessage="1" showErrorMessage="1" sqref="C7">
      <formula1>S1comp</formula1>
    </dataValidation>
    <dataValidation type="list" allowBlank="1" showInputMessage="1" showErrorMessage="1" sqref="D11:E12">
      <formula1>Geographies</formula1>
    </dataValidation>
  </dataValidations>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H43"/>
  <sheetViews>
    <sheetView workbookViewId="0">
      <pane ySplit="11" topLeftCell="A30" activePane="bottomLeft" state="frozen"/>
      <selection pane="bottomLeft" activeCell="B31" sqref="B31"/>
    </sheetView>
  </sheetViews>
  <sheetFormatPr defaultRowHeight="15" x14ac:dyDescent="0.25"/>
  <cols>
    <col min="1" max="1" width="3.42578125" customWidth="1"/>
    <col min="2" max="2" width="31.5703125" bestFit="1" customWidth="1"/>
    <col min="3" max="7" width="20.7109375" customWidth="1"/>
    <col min="8" max="8" width="29.140625" style="157" customWidth="1"/>
  </cols>
  <sheetData>
    <row r="1" spans="1:8" hidden="1" x14ac:dyDescent="0.25">
      <c r="B1" s="2"/>
      <c r="C1" s="2"/>
      <c r="D1" s="2"/>
      <c r="E1" s="2"/>
      <c r="F1" s="2"/>
      <c r="G1" s="2"/>
    </row>
    <row r="2" spans="1:8" hidden="1" x14ac:dyDescent="0.25">
      <c r="B2" s="2"/>
      <c r="C2" s="2"/>
      <c r="D2" s="2"/>
      <c r="E2" s="2"/>
      <c r="F2" s="2"/>
      <c r="G2" s="2"/>
    </row>
    <row r="3" spans="1:8" x14ac:dyDescent="0.25">
      <c r="B3" s="2" t="s">
        <v>22</v>
      </c>
      <c r="C3" s="110" t="s">
        <v>159</v>
      </c>
      <c r="D3" s="2"/>
      <c r="E3" s="2"/>
      <c r="F3" s="2"/>
      <c r="G3" s="2"/>
    </row>
    <row r="4" spans="1:8" ht="46.5" customHeight="1" thickBot="1" x14ac:dyDescent="0.3">
      <c r="B4" s="194" t="s">
        <v>158</v>
      </c>
      <c r="C4" s="194"/>
      <c r="D4" s="194"/>
      <c r="E4" s="194"/>
      <c r="F4" s="194"/>
      <c r="G4" s="3"/>
    </row>
    <row r="5" spans="1:8" ht="15.75" thickBot="1" x14ac:dyDescent="0.3">
      <c r="B5" s="2"/>
      <c r="C5" s="3"/>
      <c r="D5" s="3"/>
      <c r="E5" s="3"/>
      <c r="F5" s="10" t="s">
        <v>9</v>
      </c>
      <c r="G5" s="3"/>
    </row>
    <row r="6" spans="1:8" x14ac:dyDescent="0.25">
      <c r="B6" s="13"/>
      <c r="C6" s="14" t="s">
        <v>5</v>
      </c>
      <c r="D6" s="15" t="s">
        <v>6</v>
      </c>
      <c r="E6" s="2"/>
      <c r="F6" s="11" t="s">
        <v>10</v>
      </c>
      <c r="G6" s="2"/>
    </row>
    <row r="7" spans="1:8" ht="15.75" thickBot="1" x14ac:dyDescent="0.3">
      <c r="B7" s="129" t="s">
        <v>7</v>
      </c>
      <c r="C7" s="131" t="str">
        <f>D11</f>
        <v>For Tract 30111000300</v>
      </c>
      <c r="D7" s="130" t="s">
        <v>3</v>
      </c>
      <c r="E7" s="2"/>
      <c r="F7" s="12" t="s">
        <v>12</v>
      </c>
      <c r="G7" s="2"/>
    </row>
    <row r="8" spans="1:8" x14ac:dyDescent="0.25">
      <c r="B8" s="2"/>
      <c r="C8" s="2"/>
      <c r="D8" s="2"/>
      <c r="E8" s="2"/>
      <c r="F8" s="74" t="s">
        <v>11</v>
      </c>
      <c r="G8" s="9"/>
    </row>
    <row r="9" spans="1:8" ht="15.75" thickBot="1" x14ac:dyDescent="0.3">
      <c r="B9" s="2"/>
      <c r="C9" s="2"/>
      <c r="D9" s="2"/>
      <c r="E9" s="2"/>
      <c r="F9" s="75" t="s">
        <v>128</v>
      </c>
      <c r="G9" s="2"/>
    </row>
    <row r="10" spans="1:8" ht="15.75" thickBot="1" x14ac:dyDescent="0.3">
      <c r="C10" s="2"/>
    </row>
    <row r="11" spans="1:8" ht="15.75" thickBot="1" x14ac:dyDescent="0.3">
      <c r="A11" s="195" t="s">
        <v>180</v>
      </c>
      <c r="B11" s="196"/>
      <c r="C11" s="158" t="s">
        <v>8</v>
      </c>
      <c r="D11" s="159" t="str">
        <f>Control_Panel!E16</f>
        <v>For Tract 30111000300</v>
      </c>
      <c r="E11" s="160"/>
      <c r="F11" s="159"/>
      <c r="G11" s="161" t="s">
        <v>3</v>
      </c>
      <c r="H11" s="155" t="s">
        <v>181</v>
      </c>
    </row>
    <row r="12" spans="1:8" x14ac:dyDescent="0.25">
      <c r="A12" s="162" t="s">
        <v>56</v>
      </c>
      <c r="B12" s="77" t="s">
        <v>56</v>
      </c>
      <c r="C12" s="34"/>
      <c r="D12" s="120"/>
      <c r="E12" s="121"/>
      <c r="F12" s="120"/>
      <c r="G12" s="122"/>
      <c r="H12" s="163"/>
    </row>
    <row r="13" spans="1:8" x14ac:dyDescent="0.25">
      <c r="A13" s="156" t="s">
        <v>56</v>
      </c>
      <c r="B13" s="118" t="s">
        <v>160</v>
      </c>
      <c r="C13" s="112"/>
      <c r="D13" s="113"/>
      <c r="E13" s="113"/>
      <c r="F13" s="113"/>
      <c r="G13" s="119"/>
      <c r="H13" s="163"/>
    </row>
    <row r="14" spans="1:8" x14ac:dyDescent="0.25">
      <c r="A14" s="156" t="s">
        <v>56</v>
      </c>
      <c r="B14" s="51" t="s">
        <v>49</v>
      </c>
      <c r="C14" s="112" t="str">
        <f>IF(D14-HLOOKUP($D$7,$D$11:$G$43,4,FALSE)&gt;Control_Panel!H48,"Much Higher",IF(D14-HLOOKUP($D$7,$D$11:$G$43,4,FALSE)&gt;Control_Panel!G48,"Higher",IF(D14-HLOOKUP($D$7,$D$11:$G$43,4,FALSE)&lt;Control_Panel!J48,"Much Lower",IF(D14-HLOOKUP($D$7,$D$11:$G$43,4,FALSE)&lt;Control_Panel!I48,"Lower"," "))))</f>
        <v>Much Lower</v>
      </c>
      <c r="D14" s="113">
        <f>HLOOKUP(D$11,Data!$B$133:$P$163,3,FALSE)</f>
        <v>0</v>
      </c>
      <c r="E14" s="113">
        <f>HLOOKUP(E$11,Data!$B$133:$P$163,3,FALSE)</f>
        <v>0</v>
      </c>
      <c r="F14" s="113">
        <f>HLOOKUP(F$11,Data!$B$133:$P$163,3,FALSE)</f>
        <v>0</v>
      </c>
      <c r="G14" s="119">
        <f>HLOOKUP(G$11,Data!$B$133:$P$163,3,FALSE)</f>
        <v>0.24100000000000002</v>
      </c>
      <c r="H14" s="164" t="s">
        <v>186</v>
      </c>
    </row>
    <row r="15" spans="1:8" x14ac:dyDescent="0.25">
      <c r="A15" s="156" t="s">
        <v>56</v>
      </c>
      <c r="B15" s="52" t="s">
        <v>50</v>
      </c>
      <c r="C15" s="112" t="str">
        <f>IF(D15-HLOOKUP($D$7,$D$11:$G$43,5,FALSE)&gt;Control_Panel!H49,"Much Higher",IF(D15-HLOOKUP($D$7,$D$11:$G$43,5,FALSE)&gt;Control_Panel!G49,"Higher",IF(D15-HLOOKUP($D$7,$D$11:$G$43,5,FALSE)&lt;Control_Panel!J49,"Much Lower",IF(D15-HLOOKUP($D$7,$D$11:$G$43,5,FALSE)&lt;Control_Panel!I49,"Lower"," "))))</f>
        <v>Much Higher</v>
      </c>
      <c r="D15" s="113">
        <f>HLOOKUP(D$11,Data!$B$133:$P$163,4,FALSE)</f>
        <v>0.44479495268138802</v>
      </c>
      <c r="E15" s="113" t="e">
        <f>HLOOKUP(E$11,Data!$B$133:$P$163,4,FALSE)</f>
        <v>#DIV/0!</v>
      </c>
      <c r="F15" s="113" t="e">
        <f>HLOOKUP(F$11,Data!$B$133:$P$163,4,FALSE)</f>
        <v>#DIV/0!</v>
      </c>
      <c r="G15" s="119">
        <f>HLOOKUP(G$11,Data!$B$133:$P$163,4,FALSE)</f>
        <v>0.16163260128408047</v>
      </c>
      <c r="H15" s="164" t="s">
        <v>187</v>
      </c>
    </row>
    <row r="16" spans="1:8" x14ac:dyDescent="0.25">
      <c r="A16" s="156" t="s">
        <v>56</v>
      </c>
      <c r="B16" s="52" t="s">
        <v>51</v>
      </c>
      <c r="C16" s="112" t="str">
        <f>IF(D16-HLOOKUP($D$7,$D$11:$G$43,6,FALSE)&gt;Control_Panel!H50,"Much Higher",IF(D16-HLOOKUP($D$7,$D$11:$G$43,6,FALSE)&gt;Control_Panel!G50,"Higher",IF(D16-HLOOKUP($D$7,$D$11:$G$43,6,FALSE)&lt;Control_Panel!J50,"Much Lower",IF(D16-HLOOKUP($D$7,$D$11:$G$43,6,FALSE)&lt;Control_Panel!I50,"Lower"," "))))</f>
        <v>Higher</v>
      </c>
      <c r="D16" s="113">
        <f>HLOOKUP(D$11,Data!$B$133:$P$163,5,FALSE)</f>
        <v>0.34384858044164041</v>
      </c>
      <c r="E16" s="113" t="e">
        <f>HLOOKUP(E$11,Data!$B$133:$P$163,5,FALSE)</f>
        <v>#DIV/0!</v>
      </c>
      <c r="F16" s="113" t="e">
        <f>HLOOKUP(F$11,Data!$B$133:$P$163,5,FALSE)</f>
        <v>#DIV/0!</v>
      </c>
      <c r="G16" s="119">
        <f>HLOOKUP(G$11,Data!$B$133:$P$163,5,FALSE)</f>
        <v>0.29590714157214937</v>
      </c>
      <c r="H16" s="164" t="s">
        <v>187</v>
      </c>
    </row>
    <row r="17" spans="1:8" x14ac:dyDescent="0.25">
      <c r="A17" s="156" t="s">
        <v>56</v>
      </c>
      <c r="B17" s="52" t="s">
        <v>52</v>
      </c>
      <c r="C17" s="112" t="str">
        <f>IF(D17-HLOOKUP($D$7,$D$11:$G$43,7,FALSE)&gt;Control_Panel!H51,"Much Higher",IF(D17-HLOOKUP($D$7,$D$11:$G$43,7,FALSE)&gt;Control_Panel!G51,"Higher",IF(D17-HLOOKUP($D$7,$D$11:$G$43,7,FALSE)&lt;Control_Panel!J51,"Much Lower",IF(D17-HLOOKUP($D$7,$D$11:$G$43,7,FALSE)&lt;Control_Panel!I51,"Lower"," "))))</f>
        <v>Much Lower</v>
      </c>
      <c r="D17" s="113">
        <f>HLOOKUP(D$11,Data!$B$133:$P$163,6,FALSE)</f>
        <v>0.17350157728706625</v>
      </c>
      <c r="E17" s="113" t="e">
        <f>HLOOKUP(E$11,Data!$B$133:$P$163,6,FALSE)</f>
        <v>#DIV/0!</v>
      </c>
      <c r="F17" s="113" t="e">
        <f>HLOOKUP(F$11,Data!$B$133:$P$163,6,FALSE)</f>
        <v>#DIV/0!</v>
      </c>
      <c r="G17" s="119">
        <f>HLOOKUP(G$11,Data!$B$133:$P$163,6,FALSE)</f>
        <v>0.44902702817570156</v>
      </c>
      <c r="H17" s="164" t="s">
        <v>187</v>
      </c>
    </row>
    <row r="18" spans="1:8" x14ac:dyDescent="0.25">
      <c r="A18" s="156" t="s">
        <v>56</v>
      </c>
      <c r="B18" s="52" t="s">
        <v>53</v>
      </c>
      <c r="C18" s="112" t="str">
        <f>IF(D18-HLOOKUP($D$7,$D$11:$G$43,8,FALSE)&gt;Control_Panel!H52,"Much Higher",IF(D18-HLOOKUP($D$7,$D$11:$G$43,8,FALSE)&gt;Control_Panel!G52,"Higher",IF(D18-HLOOKUP($D$7,$D$11:$G$43,8,FALSE)&lt;Control_Panel!J52,"Much Lower",IF(D18-HLOOKUP($D$7,$D$11:$G$43,8,FALSE)&lt;Control_Panel!I52,"Lower"," "))))</f>
        <v>Much Lower</v>
      </c>
      <c r="D18" s="113">
        <f>HLOOKUP(D$11,Data!$B$133:$P$163,7,FALSE)</f>
        <v>3.7854889589905363E-2</v>
      </c>
      <c r="E18" s="113" t="e">
        <f>HLOOKUP(E$11,Data!$B$133:$P$163,7,FALSE)</f>
        <v>#DIV/0!</v>
      </c>
      <c r="F18" s="113" t="e">
        <f>HLOOKUP(F$11,Data!$B$133:$P$163,7,FALSE)</f>
        <v>#DIV/0!</v>
      </c>
      <c r="G18" s="119">
        <f>HLOOKUP(G$11,Data!$B$133:$P$163,7,FALSE)</f>
        <v>9.3433228968068646E-2</v>
      </c>
      <c r="H18" s="164" t="s">
        <v>187</v>
      </c>
    </row>
    <row r="19" spans="1:8" x14ac:dyDescent="0.25">
      <c r="A19" s="156" t="s">
        <v>56</v>
      </c>
      <c r="B19" s="118" t="s">
        <v>161</v>
      </c>
      <c r="C19" s="112"/>
      <c r="D19" s="113"/>
      <c r="E19" s="113"/>
      <c r="F19" s="113"/>
      <c r="G19" s="119"/>
      <c r="H19" s="163"/>
    </row>
    <row r="20" spans="1:8" x14ac:dyDescent="0.25">
      <c r="A20" s="156" t="s">
        <v>56</v>
      </c>
      <c r="B20" s="51" t="s">
        <v>55</v>
      </c>
      <c r="C20" s="112" t="str">
        <f>IF(D20-HLOOKUP($D$7,$D$11:$G$43,10,FALSE)&gt;Control_Panel!H48,"Much Higher",IF(D20-HLOOKUP($D$7,$D$11:$G$43,10,FALSE)&gt;Control_Panel!G48,"Higher",IF(D20-HLOOKUP($D$7,$D$11:$G$43,10,FALSE)&lt;Control_Panel!J48,"Much Lower",IF(D20-HLOOKUP($D$7,$D$11:$G$43,10,FALSE)&lt;Control_Panel!I48,"Lower"," "))))</f>
        <v xml:space="preserve"> </v>
      </c>
      <c r="D20" s="113">
        <f>HLOOKUP(D$11,Data!$B$133:$P$163,9,FALSE)</f>
        <v>6.0499999999999998E-2</v>
      </c>
      <c r="E20" s="113">
        <f>HLOOKUP(E$11,Data!$B$133:$P$163,9,FALSE)</f>
        <v>0</v>
      </c>
      <c r="F20" s="113">
        <f>HLOOKUP(F$11,Data!$B$133:$P$163,9,FALSE)</f>
        <v>0</v>
      </c>
      <c r="G20" s="119">
        <f>HLOOKUP(G$11,Data!$B$133:$P$163,9,FALSE)</f>
        <v>6.0199999999999997E-2</v>
      </c>
      <c r="H20" s="164" t="s">
        <v>188</v>
      </c>
    </row>
    <row r="21" spans="1:8" x14ac:dyDescent="0.25">
      <c r="A21" s="156" t="s">
        <v>56</v>
      </c>
      <c r="B21" s="52" t="s">
        <v>50</v>
      </c>
      <c r="C21" s="112" t="str">
        <f>IF(D21-HLOOKUP($D$7,$D$11:$G$43,11,FALSE)&gt;Control_Panel!H49,"Much Higher",IF(D21-HLOOKUP($D$7,$D$11:$G$43,11,FALSE)&gt;Control_Panel!G49,"Higher",IF(D21-HLOOKUP($D$7,$D$11:$G$43,11,FALSE)&lt;Control_Panel!J49,"Much Lower",IF(D21-HLOOKUP($D$7,$D$11:$G$43,11,FALSE)&lt;Control_Panel!I49,"Lower"," "))))</f>
        <v xml:space="preserve"> </v>
      </c>
      <c r="D21" s="113">
        <f>HLOOKUP(D$11,Data!$B$133:$P$163,10,FALSE)</f>
        <v>0.10321007720438846</v>
      </c>
      <c r="E21" s="113" t="e">
        <f>HLOOKUP(E$11,Data!$B$133:$P$163,10,FALSE)</f>
        <v>#DIV/0!</v>
      </c>
      <c r="F21" s="113" t="e">
        <f>HLOOKUP(F$11,Data!$B$133:$P$163,10,FALSE)</f>
        <v>#DIV/0!</v>
      </c>
      <c r="G21" s="119">
        <f>HLOOKUP(G$11,Data!$B$133:$P$163,10,FALSE)</f>
        <v>0.12342196151230674</v>
      </c>
      <c r="H21" s="164" t="s">
        <v>188</v>
      </c>
    </row>
    <row r="22" spans="1:8" x14ac:dyDescent="0.25">
      <c r="A22" s="156" t="s">
        <v>56</v>
      </c>
      <c r="B22" s="52" t="s">
        <v>51</v>
      </c>
      <c r="C22" s="112" t="str">
        <f>IF(D22-HLOOKUP($D$7,$D$11:$G$43,12,FALSE)&gt;Control_Panel!H50,"Much Higher",IF(D22-HLOOKUP($D$7,$D$11:$G$43,12,FALSE)&gt;Control_Panel!G50,"Higher",IF(D22-HLOOKUP($D$7,$D$11:$G$43,12,FALSE)&lt;Control_Panel!J50,"Much Lower",IF(D22-HLOOKUP($D$7,$D$11:$G$43,12,FALSE)&lt;Control_Panel!I50,"Lower"," "))))</f>
        <v>Much Higher</v>
      </c>
      <c r="D22" s="113">
        <f>HLOOKUP(D$11,Data!$B$133:$P$163,11,FALSE)</f>
        <v>0.46647704185290534</v>
      </c>
      <c r="E22" s="113" t="e">
        <f>HLOOKUP(E$11,Data!$B$133:$P$163,11,FALSE)</f>
        <v>#DIV/0!</v>
      </c>
      <c r="F22" s="113" t="e">
        <f>HLOOKUP(F$11,Data!$B$133:$P$163,11,FALSE)</f>
        <v>#DIV/0!</v>
      </c>
      <c r="G22" s="119">
        <f>HLOOKUP(G$11,Data!$B$133:$P$163,11,FALSE)</f>
        <v>0.26792955489647313</v>
      </c>
      <c r="H22" s="164" t="s">
        <v>188</v>
      </c>
    </row>
    <row r="23" spans="1:8" x14ac:dyDescent="0.25">
      <c r="A23" s="156" t="s">
        <v>56</v>
      </c>
      <c r="B23" s="52" t="s">
        <v>52</v>
      </c>
      <c r="C23" s="112" t="str">
        <f>IF(D23-HLOOKUP($D$7,$D$11:$G$43,13,FALSE)&gt;Control_Panel!H51,"Much Higher",IF(D23-HLOOKUP($D$7,$D$11:$G$43,13,FALSE)&gt;Control_Panel!G51,"Higher",IF(D23-HLOOKUP($D$7,$D$11:$G$43,13,FALSE)&lt;Control_Panel!J51,"Much Lower",IF(D23-HLOOKUP($D$7,$D$11:$G$43,13,FALSE)&lt;Control_Panel!I51,"Lower"," "))))</f>
        <v xml:space="preserve"> </v>
      </c>
      <c r="D23" s="113">
        <f>HLOOKUP(D$11,Data!$B$133:$P$163,12,FALSE)</f>
        <v>0.33075985371800082</v>
      </c>
      <c r="E23" s="113" t="e">
        <f>HLOOKUP(E$11,Data!$B$133:$P$163,12,FALSE)</f>
        <v>#DIV/0!</v>
      </c>
      <c r="F23" s="113" t="e">
        <f>HLOOKUP(F$11,Data!$B$133:$P$163,12,FALSE)</f>
        <v>#DIV/0!</v>
      </c>
      <c r="G23" s="119">
        <f>HLOOKUP(G$11,Data!$B$133:$P$163,12,FALSE)</f>
        <v>0.30638429662384609</v>
      </c>
      <c r="H23" s="164" t="s">
        <v>188</v>
      </c>
    </row>
    <row r="24" spans="1:8" ht="15.75" thickBot="1" x14ac:dyDescent="0.3">
      <c r="A24" s="156" t="s">
        <v>56</v>
      </c>
      <c r="B24" s="90" t="s">
        <v>53</v>
      </c>
      <c r="C24" s="123" t="str">
        <f>IF(D24-HLOOKUP($D$7,$D$11:$G$43,14,FALSE)&gt;Control_Panel!H52,"Much Higher",IF(D24-HLOOKUP($D$7,$D$11:$G$43,14,FALSE)&gt;Control_Panel!G52,"Higher",IF(D24-HLOOKUP($D$7,$D$11:$G$43,14,FALSE)&lt;Control_Panel!J52,"Much Lower",IF(D24-HLOOKUP($D$7,$D$11:$G$43,14,FALSE)&lt;Control_Panel!I52,"Lower"," "))))</f>
        <v>Much Lower</v>
      </c>
      <c r="D24" s="124">
        <f>HLOOKUP(D$11,Data!$B$133:$P$163,13,FALSE)</f>
        <v>9.9553027224705409E-2</v>
      </c>
      <c r="E24" s="124" t="e">
        <f>HLOOKUP(E$11,Data!$B$133:$P$163,13,FALSE)</f>
        <v>#DIV/0!</v>
      </c>
      <c r="F24" s="124" t="e">
        <f>HLOOKUP(F$11,Data!$B$133:$P$163,13,FALSE)</f>
        <v>#DIV/0!</v>
      </c>
      <c r="G24" s="125">
        <f>HLOOKUP(G$11,Data!$B$133:$P$163,13,FALSE)</f>
        <v>0.30226418696737406</v>
      </c>
      <c r="H24" s="164" t="s">
        <v>188</v>
      </c>
    </row>
    <row r="25" spans="1:8" ht="15.75" thickBot="1" x14ac:dyDescent="0.3">
      <c r="A25" s="156" t="s">
        <v>56</v>
      </c>
      <c r="B25" s="197" t="s">
        <v>182</v>
      </c>
      <c r="C25" s="198"/>
      <c r="D25" s="101"/>
      <c r="E25" s="101"/>
      <c r="F25" s="101"/>
      <c r="G25" s="102"/>
      <c r="H25" s="163"/>
    </row>
    <row r="26" spans="1:8" x14ac:dyDescent="0.25">
      <c r="A26" s="156" t="s">
        <v>64</v>
      </c>
      <c r="B26" s="114" t="s">
        <v>64</v>
      </c>
      <c r="C26" s="115"/>
      <c r="D26" s="116"/>
      <c r="E26" s="116"/>
      <c r="F26" s="116"/>
      <c r="G26" s="117"/>
      <c r="H26" s="163"/>
    </row>
    <row r="27" spans="1:8" x14ac:dyDescent="0.25">
      <c r="A27" s="156" t="s">
        <v>64</v>
      </c>
      <c r="B27" s="118" t="s">
        <v>162</v>
      </c>
      <c r="C27" s="112"/>
      <c r="D27" s="113"/>
      <c r="E27" s="113"/>
      <c r="F27" s="113"/>
      <c r="G27" s="119"/>
      <c r="H27" s="163"/>
    </row>
    <row r="28" spans="1:8" ht="30" x14ac:dyDescent="0.25">
      <c r="A28" s="156" t="s">
        <v>64</v>
      </c>
      <c r="B28" s="165" t="s">
        <v>148</v>
      </c>
      <c r="C28" s="32" t="str">
        <f>IF(D28-HLOOKUP($D$7,$D$11:$G$43,18,FALSE)&gt;Control_Panel!H55,"Much Higher",IF(D28-HLOOKUP($D$7,$D$11:$G$43,18,FALSE)&gt;Control_Panel!G55,"Higher",IF(D28-HLOOKUP($D$7,$D$11:$G$43,18,FALSE)&lt;Control_Panel!J55,"Much Lower",IF(D28-HLOOKUP($D$7,$D$11:$G$43,18,FALSE)&lt;Control_Panel!I55,"Lower"," "))))</f>
        <v>Much Lower</v>
      </c>
      <c r="D28" s="93">
        <f>HLOOKUP(D$11,Data!$B$133:$P$163,17,FALSE)</f>
        <v>0.50787401574803148</v>
      </c>
      <c r="E28" s="93" t="e">
        <f>HLOOKUP(E$11,Data!$B$133:$P$163,17,FALSE)</f>
        <v>#DIV/0!</v>
      </c>
      <c r="F28" s="93" t="e">
        <f>HLOOKUP(F$11,Data!$B$133:$P$163,17,FALSE)</f>
        <v>#DIV/0!</v>
      </c>
      <c r="G28" s="94">
        <f>HLOOKUP(G$11,Data!$B$133:$P$163,17,FALSE)</f>
        <v>0.61606998345574626</v>
      </c>
      <c r="H28" s="168" t="s">
        <v>189</v>
      </c>
    </row>
    <row r="29" spans="1:8" ht="30" x14ac:dyDescent="0.25">
      <c r="A29" s="156" t="s">
        <v>64</v>
      </c>
      <c r="B29" s="167" t="s">
        <v>140</v>
      </c>
      <c r="C29" s="32" t="str">
        <f>IF(D29-HLOOKUP($D$7,$D$11:$G$43,19,FALSE)&gt;Control_Panel!H56,"Much Higher",IF(D29-HLOOKUP($D$7,$D$11:$G$43,19,FALSE)&gt;Control_Panel!G56,"Higher",IF(D29-HLOOKUP($D$7,$D$11:$G$43,19,FALSE)&lt;Control_Panel!J56,"Much Lower",IF(D29-HLOOKUP($D$7,$D$11:$G$43,19,FALSE)&lt;Control_Panel!I56,"Lower"," "))))</f>
        <v>Much Higher</v>
      </c>
      <c r="D29" s="93">
        <f>HLOOKUP(D$11,Data!$B$133:$P$163,18,FALSE)</f>
        <v>0.29457364341085274</v>
      </c>
      <c r="E29" s="93" t="e">
        <f>HLOOKUP(E$11,Data!$B$133:$P$163,18,FALSE)</f>
        <v>#DIV/0!</v>
      </c>
      <c r="F29" s="93" t="e">
        <f>HLOOKUP(F$11,Data!$B$133:$P$163,18,FALSE)</f>
        <v>#DIV/0!</v>
      </c>
      <c r="G29" s="94">
        <f>HLOOKUP(G$11,Data!$B$133:$P$163,18,FALSE)</f>
        <v>0.14227655148148619</v>
      </c>
      <c r="H29" s="168" t="s">
        <v>190</v>
      </c>
    </row>
    <row r="30" spans="1:8" x14ac:dyDescent="0.25">
      <c r="A30" s="156" t="s">
        <v>64</v>
      </c>
      <c r="B30" s="167" t="s">
        <v>149</v>
      </c>
      <c r="C30" s="32" t="str">
        <f>IF(D30-HLOOKUP($D$7,$D$11:$G$43,20,FALSE)&gt;Control_Panel!H57,"Much Higher",IF(D30-HLOOKUP($D$7,$D$11:$G$43,20,FALSE)&gt;Control_Panel!G57,"Higher",IF(D30-HLOOKUP($D$7,$D$11:$G$43,20,FALSE)&lt;Control_Panel!J57,"Much Lower",IF(D30-HLOOKUP($D$7,$D$11:$G$43,20,FALSE)&lt;Control_Panel!I57,"Lower"," "))))</f>
        <v>Much Lower</v>
      </c>
      <c r="D30" s="93">
        <f>HLOOKUP(D$11,Data!$B$133:$P$163,19,FALSE)</f>
        <v>0.65054475104368192</v>
      </c>
      <c r="E30" s="93">
        <f>HLOOKUP(E$11,Data!$B$133:$P$163,19,FALSE)</f>
        <v>0</v>
      </c>
      <c r="F30" s="93">
        <f>HLOOKUP(F$11,Data!$B$133:$P$163,19,FALSE)</f>
        <v>0</v>
      </c>
      <c r="G30" s="94">
        <f>HLOOKUP(G$11,Data!$B$133:$P$163,19,FALSE)</f>
        <v>1</v>
      </c>
      <c r="H30" s="166"/>
    </row>
    <row r="31" spans="1:8" x14ac:dyDescent="0.25">
      <c r="A31" s="156" t="s">
        <v>64</v>
      </c>
      <c r="B31" s="169" t="s">
        <v>163</v>
      </c>
      <c r="C31" s="32"/>
      <c r="D31" s="93"/>
      <c r="E31" s="93"/>
      <c r="F31" s="93"/>
      <c r="G31" s="94"/>
      <c r="H31" s="166"/>
    </row>
    <row r="32" spans="1:8" ht="30" x14ac:dyDescent="0.25">
      <c r="A32" s="156" t="s">
        <v>64</v>
      </c>
      <c r="B32" s="165" t="s">
        <v>148</v>
      </c>
      <c r="C32" s="32" t="str">
        <f>IF(D32-HLOOKUP($D$7,$D$11:$G$43,22,FALSE)&gt;Control_Panel!H55,"Much Higher",IF(D32-HLOOKUP($D$7,$D$11:$G$43,22,FALSE)&gt;Control_Panel!G55,"Higher",IF(D32-HLOOKUP($D$7,$D$11:$G$43,22,FALSE)&lt;Control_Panel!J55,"Much Lower",IF(D32-HLOOKUP($D$7,$D$11:$G$43,22,FALSE)&lt;Control_Panel!I55,"Lower"," "))))</f>
        <v>Much Lower</v>
      </c>
      <c r="D32" s="93">
        <f>HLOOKUP(D$11,Data!$B$133:$P$163,21,FALSE)</f>
        <v>0.66027874564459932</v>
      </c>
      <c r="E32" s="93" t="e">
        <f>HLOOKUP(E$11,Data!$B$133:$P$163,21,FALSE)</f>
        <v>#DIV/0!</v>
      </c>
      <c r="F32" s="93" t="e">
        <f>HLOOKUP(F$11,Data!$B$133:$P$163,21,FALSE)</f>
        <v>#DIV/0!</v>
      </c>
      <c r="G32" s="94">
        <f>HLOOKUP(G$11,Data!$B$133:$P$163,21,FALSE)</f>
        <v>0.74318929938994027</v>
      </c>
      <c r="H32" s="168" t="s">
        <v>191</v>
      </c>
    </row>
    <row r="33" spans="1:8" ht="45" x14ac:dyDescent="0.25">
      <c r="A33" s="156" t="s">
        <v>64</v>
      </c>
      <c r="B33" s="167" t="s">
        <v>140</v>
      </c>
      <c r="C33" s="32" t="str">
        <f>IF(D33-HLOOKUP($D$7,$D$11:$G$43,23,FALSE)&gt;Control_Panel!H56,"Much Higher",IF(D33-HLOOKUP($D$7,$D$11:$G$43,23,FALSE)&gt;Control_Panel!G56,"Higher",IF(D33-HLOOKUP($D$7,$D$11:$G$43,23,FALSE)&lt;Control_Panel!J56,"Much Lower",IF(D33-HLOOKUP($D$7,$D$11:$G$43,23,FALSE)&lt;Control_Panel!I56,"Lower"," "))))</f>
        <v xml:space="preserve"> </v>
      </c>
      <c r="D33" s="93">
        <f>HLOOKUP(D$11,Data!$B$133:$P$163,22,FALSE)</f>
        <v>0.10686015831134564</v>
      </c>
      <c r="E33" s="93" t="e">
        <f>HLOOKUP(E$11,Data!$B$133:$P$163,22,FALSE)</f>
        <v>#DIV/0!</v>
      </c>
      <c r="F33" s="93" t="e">
        <f>HLOOKUP(F$11,Data!$B$133:$P$163,22,FALSE)</f>
        <v>#DIV/0!</v>
      </c>
      <c r="G33" s="94">
        <f>HLOOKUP(G$11,Data!$B$133:$P$163,22,FALSE)</f>
        <v>9.853424728908397E-2</v>
      </c>
      <c r="H33" s="168" t="s">
        <v>192</v>
      </c>
    </row>
    <row r="34" spans="1:8" x14ac:dyDescent="0.25">
      <c r="A34" s="156" t="s">
        <v>64</v>
      </c>
      <c r="B34" s="167" t="s">
        <v>149</v>
      </c>
      <c r="C34" s="32" t="str">
        <f>IF(D34-HLOOKUP($D$7,$D$11:$G$43,24,FALSE)&gt;Control_Panel!H57,"Much Higher",IF(D34-HLOOKUP($D$7,$D$11:$G$43,24,FALSE)&gt;Control_Panel!G57,"Higher",IF(D34-HLOOKUP($D$7,$D$11:$G$43,24,FALSE)&lt;Control_Panel!J57,"Much Lower",IF(D34-HLOOKUP($D$7,$D$11:$G$43,24,FALSE)&lt;Control_Panel!I57,"Lower"," "))))</f>
        <v>Much Lower</v>
      </c>
      <c r="D34" s="93">
        <f>HLOOKUP(D$11,Data!$B$133:$P$163,23,FALSE)</f>
        <v>0.59709493968920924</v>
      </c>
      <c r="E34" s="93">
        <f>HLOOKUP(E$11,Data!$B$133:$P$163,23,FALSE)</f>
        <v>0</v>
      </c>
      <c r="F34" s="93">
        <f>HLOOKUP(F$11,Data!$B$133:$P$163,23,FALSE)</f>
        <v>0</v>
      </c>
      <c r="G34" s="94">
        <f>HLOOKUP(G$11,Data!$B$133:$P$163,23,FALSE)</f>
        <v>1</v>
      </c>
      <c r="H34" s="166"/>
    </row>
    <row r="35" spans="1:8" x14ac:dyDescent="0.25">
      <c r="A35" s="156" t="s">
        <v>64</v>
      </c>
      <c r="B35" s="169" t="s">
        <v>164</v>
      </c>
      <c r="C35" s="32"/>
      <c r="D35" s="93"/>
      <c r="E35" s="93"/>
      <c r="F35" s="93"/>
      <c r="G35" s="94"/>
      <c r="H35" s="166"/>
    </row>
    <row r="36" spans="1:8" ht="30" x14ac:dyDescent="0.25">
      <c r="A36" s="156" t="s">
        <v>64</v>
      </c>
      <c r="B36" s="165" t="s">
        <v>148</v>
      </c>
      <c r="C36" s="32" t="str">
        <f>IF(D36-HLOOKUP($D$7,$D$11:$G$43,26,FALSE)&gt;Control_Panel!H55,"Much Higher",IF(D36-HLOOKUP($D$7,$D$11:$G$43,26,FALSE)&gt;Control_Panel!G55,"Higher",IF(D36-HLOOKUP($D$7,$D$11:$G$43,26,FALSE)&lt;Control_Panel!J55,"Much Lower",IF(D36-HLOOKUP($D$7,$D$11:$G$43,26,FALSE)&lt;Control_Panel!I55,"Lower"," "))))</f>
        <v>Much Lower</v>
      </c>
      <c r="D36" s="93">
        <f>HLOOKUP(D$11,Data!$B$133:$P$163,25,FALSE)</f>
        <v>0.74937343358395991</v>
      </c>
      <c r="E36" s="93" t="e">
        <f>HLOOKUP(E$11,Data!$B$133:$P$163,25,FALSE)</f>
        <v>#DIV/0!</v>
      </c>
      <c r="F36" s="93" t="e">
        <f>HLOOKUP(F$11,Data!$B$133:$P$163,25,FALSE)</f>
        <v>#DIV/0!</v>
      </c>
      <c r="G36" s="94">
        <f>HLOOKUP(G$11,Data!$B$133:$P$163,25,FALSE)</f>
        <v>0.80236710355300733</v>
      </c>
      <c r="H36" s="168" t="s">
        <v>193</v>
      </c>
    </row>
    <row r="37" spans="1:8" ht="30" x14ac:dyDescent="0.25">
      <c r="A37" s="156" t="s">
        <v>64</v>
      </c>
      <c r="B37" s="167" t="s">
        <v>140</v>
      </c>
      <c r="C37" s="32" t="str">
        <f>IF(D37-HLOOKUP($D$7,$D$11:$G$43,27,FALSE)&gt;Control_Panel!H56,"Much Higher",IF(D37-HLOOKUP($D$7,$D$11:$G$43,27,FALSE)&gt;Control_Panel!G56,"Higher",IF(D37-HLOOKUP($D$7,$D$11:$G$43,27,FALSE)&lt;Control_Panel!J56,"Much Lower",IF(D37-HLOOKUP($D$7,$D$11:$G$43,27,FALSE)&lt;Control_Panel!I56,"Lower"," "))))</f>
        <v>Lower</v>
      </c>
      <c r="D37" s="93">
        <f>HLOOKUP(D$11,Data!$B$133:$P$163,26,FALSE)</f>
        <v>4.3478260869565216E-2</v>
      </c>
      <c r="E37" s="93" t="e">
        <f>HLOOKUP(E$11,Data!$B$133:$P$163,26,FALSE)</f>
        <v>#DIV/0!</v>
      </c>
      <c r="F37" s="93" t="e">
        <f>HLOOKUP(F$11,Data!$B$133:$P$163,26,FALSE)</f>
        <v>#DIV/0!</v>
      </c>
      <c r="G37" s="94">
        <f>HLOOKUP(G$11,Data!$B$133:$P$163,26,FALSE)</f>
        <v>7.8075051660273107E-2</v>
      </c>
      <c r="H37" s="168" t="s">
        <v>194</v>
      </c>
    </row>
    <row r="38" spans="1:8" x14ac:dyDescent="0.25">
      <c r="A38" s="156" t="s">
        <v>64</v>
      </c>
      <c r="B38" s="167" t="s">
        <v>149</v>
      </c>
      <c r="C38" s="32" t="str">
        <f>IF(D38-HLOOKUP($D$7,$D$11:$G$43,28,FALSE)&gt;Control_Panel!H57,"Much Higher",IF(D38-HLOOKUP($D$7,$D$11:$G$43,28,FALSE)&gt;Control_Panel!G57,"Higher",IF(D38-HLOOKUP($D$7,$D$11:$G$43,28,FALSE)&lt;Control_Panel!J57,"Much Lower",IF(D38-HLOOKUP($D$7,$D$11:$G$43,28,FALSE)&lt;Control_Panel!I57,"Lower"," "))))</f>
        <v>Much Lower</v>
      </c>
      <c r="D38" s="93">
        <f>HLOOKUP(D$11,Data!$B$133:$P$163,27,FALSE)</f>
        <v>0.55078713412292879</v>
      </c>
      <c r="E38" s="93">
        <f>HLOOKUP(E$11,Data!$B$133:$P$163,27,FALSE)</f>
        <v>0</v>
      </c>
      <c r="F38" s="93">
        <f>HLOOKUP(F$11,Data!$B$133:$P$163,27,FALSE)</f>
        <v>0</v>
      </c>
      <c r="G38" s="94">
        <f>HLOOKUP(G$11,Data!$B$133:$P$163,27,FALSE)</f>
        <v>1</v>
      </c>
      <c r="H38" s="166"/>
    </row>
    <row r="39" spans="1:8" x14ac:dyDescent="0.25">
      <c r="A39" s="156" t="s">
        <v>64</v>
      </c>
      <c r="B39" s="169" t="s">
        <v>165</v>
      </c>
      <c r="C39" s="32"/>
      <c r="D39" s="93"/>
      <c r="E39" s="93"/>
      <c r="F39" s="93"/>
      <c r="G39" s="94"/>
      <c r="H39" s="166"/>
    </row>
    <row r="40" spans="1:8" ht="30" x14ac:dyDescent="0.25">
      <c r="A40" s="156" t="s">
        <v>64</v>
      </c>
      <c r="B40" s="165" t="s">
        <v>148</v>
      </c>
      <c r="C40" s="32" t="str">
        <f>IF(D40-HLOOKUP($D$7,$D$11:$G$43,30,FALSE)&gt;Control_Panel!H55,"Much Higher",IF(D40-HLOOKUP($D$7,$D$11:$G$43,30,FALSE)&gt;Control_Panel!G55,"Higher",IF(D40-HLOOKUP($D$7,$D$11:$G$43,30,FALSE)&lt;Control_Panel!J55,"Much Lower",IF(D40-HLOOKUP($D$7,$D$11:$G$43,30,FALSE)&lt;Control_Panel!I55,"Lower"," "))))</f>
        <v>Much Lower</v>
      </c>
      <c r="D40" s="93">
        <f>HLOOKUP(D$11,Data!$B$133:$P$163,29,FALSE)</f>
        <v>0.75510204081632648</v>
      </c>
      <c r="E40" s="93" t="e">
        <f>HLOOKUP(E$11,Data!$B$133:$P$163,29,FALSE)</f>
        <v>#DIV/0!</v>
      </c>
      <c r="F40" s="93" t="e">
        <f>HLOOKUP(F$11,Data!$B$133:$P$163,29,FALSE)</f>
        <v>#DIV/0!</v>
      </c>
      <c r="G40" s="94">
        <f>HLOOKUP(G$11,Data!$B$133:$P$163,29,FALSE)</f>
        <v>0.8608733462122089</v>
      </c>
      <c r="H40" s="168" t="s">
        <v>195</v>
      </c>
    </row>
    <row r="41" spans="1:8" ht="30" customHeight="1" x14ac:dyDescent="0.25">
      <c r="A41" s="156" t="s">
        <v>64</v>
      </c>
      <c r="B41" s="167" t="s">
        <v>140</v>
      </c>
      <c r="C41" s="32" t="str">
        <f>IF(D41-HLOOKUP($D$7,$D$11:$G$43,31,FALSE)&gt;Control_Panel!H56,"Much Higher",IF(D41-HLOOKUP($D$7,$D$11:$G$43,31,FALSE)&gt;Control_Panel!G56,"Higher",IF(D41-HLOOKUP($D$7,$D$11:$G$43,31,FALSE)&lt;Control_Panel!J56,"Much Lower",IF(D41-HLOOKUP($D$7,$D$11:$G$43,31,FALSE)&lt;Control_Panel!I56,"Lower"," "))))</f>
        <v xml:space="preserve"> </v>
      </c>
      <c r="D41" s="93">
        <f>HLOOKUP(D$11,Data!$B$133:$P$163,30,FALSE)</f>
        <v>2.1621621621621623E-2</v>
      </c>
      <c r="E41" s="93" t="e">
        <f>HLOOKUP(E$11,Data!$B$133:$P$163,30,FALSE)</f>
        <v>#DIV/0!</v>
      </c>
      <c r="F41" s="93" t="e">
        <f>HLOOKUP(F$11,Data!$B$133:$P$163,30,FALSE)</f>
        <v>#DIV/0!</v>
      </c>
      <c r="G41" s="94">
        <f>HLOOKUP(G$11,Data!$B$133:$P$163,30,FALSE)</f>
        <v>4.145674836446657E-2</v>
      </c>
      <c r="H41" s="168" t="s">
        <v>196</v>
      </c>
    </row>
    <row r="42" spans="1:8" ht="30" x14ac:dyDescent="0.25">
      <c r="A42" s="156" t="s">
        <v>64</v>
      </c>
      <c r="B42" s="167" t="s">
        <v>171</v>
      </c>
      <c r="C42" s="32" t="str">
        <f>IF(D42-HLOOKUP($D$7,$D$11:$G$43,32,FALSE)&gt;Control_Panel!H57,"Much Higher",IF(D42-HLOOKUP($D$7,$D$11:$G$43,32,FALSE)&gt;Control_Panel!G57,"Higher",IF(D42-HLOOKUP($D$7,$D$11:$G$43,32,FALSE)&lt;Control_Panel!J57,"Much Lower",IF(D42-HLOOKUP($D$7,$D$11:$G$43,32,FALSE)&lt;Control_Panel!I57,"Lower"," "))))</f>
        <v>Much Lower</v>
      </c>
      <c r="D42" s="93">
        <f>HLOOKUP(D$11,Data!$B$133:$P$163,31,FALSE)</f>
        <v>0.33130389651868414</v>
      </c>
      <c r="E42" s="93">
        <f>HLOOKUP(E$11,Data!$B$133:$P$163,31,FALSE)</f>
        <v>0</v>
      </c>
      <c r="F42" s="93">
        <f>HLOOKUP(F$11,Data!$B$133:$P$163,31,FALSE)</f>
        <v>0</v>
      </c>
      <c r="G42" s="94">
        <f>HLOOKUP(G$11,Data!$B$133:$P$163,31,FALSE)</f>
        <v>1</v>
      </c>
      <c r="H42" s="166"/>
    </row>
    <row r="43" spans="1:8" ht="30.75" thickBot="1" x14ac:dyDescent="0.3">
      <c r="A43" s="156" t="s">
        <v>64</v>
      </c>
      <c r="B43" s="170" t="s">
        <v>172</v>
      </c>
      <c r="C43" s="36" t="str">
        <f>IF(D43-HLOOKUP($D$7,$D$11:$G$43,33,FALSE)&gt;Control_Panel!H57,"Much Higher",IF(D43-HLOOKUP($D$7,$D$11:$G$43,33,FALSE)&gt;Control_Panel!G57,"Higher",IF(D43-HLOOKUP($D$7,$D$11:$G$43,33,FALSE)&lt;Control_Panel!J57,"Much Lower",IF(D43-HLOOKUP($D$7,$D$11:$G$43,33,FALSE)&lt;Control_Panel!I57,"Lower"," "))))</f>
        <v>Much Lower</v>
      </c>
      <c r="D43" s="99">
        <f>HLOOKUP(D$11,Data!$B$133:$P$164,32,FALSE)</f>
        <v>0.44591507964119864</v>
      </c>
      <c r="E43" s="99">
        <f>HLOOKUP(E$11,Data!$B$133:$P$164,32,FALSE)</f>
        <v>0</v>
      </c>
      <c r="F43" s="99">
        <f>HLOOKUP(F$11,Data!$B$133:$P$164,32,FALSE)</f>
        <v>0</v>
      </c>
      <c r="G43" s="100">
        <f>HLOOKUP(G$11,Data!$B$133:$P$164,32,FALSE)</f>
        <v>1</v>
      </c>
      <c r="H43" s="166"/>
    </row>
  </sheetData>
  <autoFilter ref="A11:A43"/>
  <mergeCells count="3">
    <mergeCell ref="B4:F4"/>
    <mergeCell ref="A11:B11"/>
    <mergeCell ref="B25:C25"/>
  </mergeCells>
  <conditionalFormatting sqref="G11:G43">
    <cfRule type="expression" dxfId="6" priority="7">
      <formula>$G$11=$D$7</formula>
    </cfRule>
  </conditionalFormatting>
  <conditionalFormatting sqref="F11:F43">
    <cfRule type="expression" dxfId="5" priority="6">
      <formula>$F$11=$D$7</formula>
    </cfRule>
  </conditionalFormatting>
  <conditionalFormatting sqref="E11:E43">
    <cfRule type="expression" dxfId="4" priority="5">
      <formula>$E$11=$D$7</formula>
    </cfRule>
  </conditionalFormatting>
  <conditionalFormatting sqref="D14:D43">
    <cfRule type="expression" dxfId="3" priority="1">
      <formula>LEFT(C14,6)="Much L"</formula>
    </cfRule>
    <cfRule type="expression" dxfId="2" priority="2">
      <formula>LEFT(C14,6)="Much H"</formula>
    </cfRule>
    <cfRule type="expression" dxfId="1" priority="3">
      <formula>LEFT(C14)="L"</formula>
    </cfRule>
    <cfRule type="expression" dxfId="0" priority="4">
      <formula>LEFT(C14)="H"</formula>
    </cfRule>
  </conditionalFormatting>
  <dataValidations count="2">
    <dataValidation type="list" showInputMessage="1" showErrorMessage="1" sqref="D7">
      <formula1>S2comp</formula1>
    </dataValidation>
    <dataValidation type="list" allowBlank="1" showInputMessage="1" showErrorMessage="1" sqref="E11:F11">
      <formula1>Geographies</formula1>
    </dataValidation>
  </dataValidations>
  <pageMargins left="0.7" right="0.7" top="0.75" bottom="0.75" header="0.3" footer="0.3"/>
  <pageSetup scale="73"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Data!$B$6:$P$6</xm:f>
          </x14:formula1>
          <xm:sqref>E12:F12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G17"/>
  <sheetViews>
    <sheetView topLeftCell="A3" workbookViewId="0">
      <selection activeCell="C19" sqref="C19"/>
    </sheetView>
  </sheetViews>
  <sheetFormatPr defaultRowHeight="15" x14ac:dyDescent="0.25"/>
  <cols>
    <col min="1" max="1" width="22.28515625" bestFit="1" customWidth="1"/>
    <col min="2" max="2" width="25.28515625" customWidth="1"/>
    <col min="3" max="3" width="21.28515625" customWidth="1"/>
    <col min="4" max="4" width="13.140625" customWidth="1"/>
    <col min="5" max="5" width="6.7109375" bestFit="1" customWidth="1"/>
    <col min="6" max="6" width="21.28515625" customWidth="1"/>
    <col min="7" max="7" width="13" customWidth="1"/>
  </cols>
  <sheetData>
    <row r="1" spans="1:7" hidden="1" x14ac:dyDescent="0.25">
      <c r="A1" s="2"/>
      <c r="B1" s="2"/>
      <c r="C1" s="2"/>
      <c r="D1" s="2"/>
      <c r="E1" s="2"/>
      <c r="F1" s="2"/>
      <c r="G1" s="2"/>
    </row>
    <row r="2" spans="1:7" hidden="1" x14ac:dyDescent="0.25">
      <c r="A2" s="2"/>
      <c r="B2" s="2"/>
      <c r="C2" s="2"/>
      <c r="D2" s="2"/>
      <c r="E2" s="2"/>
      <c r="F2" s="2"/>
    </row>
    <row r="3" spans="1:7" x14ac:dyDescent="0.25">
      <c r="A3" s="2" t="s">
        <v>26</v>
      </c>
      <c r="B3" s="2" t="s">
        <v>27</v>
      </c>
      <c r="C3" s="2"/>
      <c r="D3" s="2"/>
      <c r="E3" s="2"/>
      <c r="F3" s="2"/>
    </row>
    <row r="4" spans="1:7" ht="78" customHeight="1" x14ac:dyDescent="0.25">
      <c r="A4" s="194" t="s">
        <v>166</v>
      </c>
      <c r="B4" s="194"/>
      <c r="C4" s="194"/>
      <c r="D4" s="194"/>
      <c r="E4" s="194"/>
      <c r="F4" s="3"/>
    </row>
    <row r="5" spans="1:7" ht="15.75" thickBot="1" x14ac:dyDescent="0.3">
      <c r="A5" s="39"/>
      <c r="B5" s="39"/>
      <c r="C5" s="39"/>
      <c r="D5" s="39"/>
      <c r="E5" s="39"/>
      <c r="F5" s="3"/>
    </row>
    <row r="6" spans="1:7" x14ac:dyDescent="0.25">
      <c r="A6" s="13" t="s">
        <v>32</v>
      </c>
      <c r="B6" s="14" t="s">
        <v>177</v>
      </c>
      <c r="C6" s="15" t="s">
        <v>178</v>
      </c>
      <c r="D6" s="39"/>
      <c r="E6" s="39"/>
      <c r="F6" s="3"/>
    </row>
    <row r="7" spans="1:7" ht="15.75" thickBot="1" x14ac:dyDescent="0.3">
      <c r="A7" s="132" t="str">
        <f>Control_Panel!E16</f>
        <v>For Tract 30111000300</v>
      </c>
      <c r="B7" s="131" t="s">
        <v>3</v>
      </c>
      <c r="C7" s="130"/>
    </row>
    <row r="9" spans="1:7" ht="15.75" thickBot="1" x14ac:dyDescent="0.3">
      <c r="C9" s="9"/>
      <c r="D9" s="9"/>
      <c r="F9" s="9"/>
      <c r="G9" s="9"/>
    </row>
    <row r="10" spans="1:7" ht="15.75" thickBot="1" x14ac:dyDescent="0.3">
      <c r="A10" s="65" t="s">
        <v>28</v>
      </c>
      <c r="B10" s="66" t="s">
        <v>29</v>
      </c>
      <c r="C10" s="181" t="s">
        <v>30</v>
      </c>
      <c r="D10" s="181"/>
      <c r="E10" s="67"/>
      <c r="F10" s="181" t="s">
        <v>31</v>
      </c>
      <c r="G10" s="182"/>
    </row>
    <row r="11" spans="1:7" x14ac:dyDescent="0.25">
      <c r="A11" s="59" t="s">
        <v>66</v>
      </c>
      <c r="B11" s="60" t="s">
        <v>167</v>
      </c>
      <c r="C11" s="64" t="s">
        <v>33</v>
      </c>
      <c r="D11" s="103">
        <f>HLOOKUP($A$7,Data!$B$133:$P$135,3,FALSE)+ABS(HLOOKUP("NATION",Data!$B$133:$P$135,3,FALSE)-HLOOKUP($A$7,Data!$B$133:$P$135,3,FALSE))/2</f>
        <v>0.12050000000000001</v>
      </c>
      <c r="E11" s="64"/>
      <c r="F11" s="64" t="s">
        <v>33</v>
      </c>
      <c r="G11" s="106">
        <f>HLOOKUP($A$7,Data!$B$133:$P$135,3,FALSE)+ABS(HLOOKUP($C$7,Data!$B$133:$P$135,3,FALSE)-HLOOKUP($A$7,Data!$B$133:$P$135,3,FALSE))/2</f>
        <v>0</v>
      </c>
    </row>
    <row r="12" spans="1:7" ht="15.75" thickBot="1" x14ac:dyDescent="0.3">
      <c r="A12" s="86"/>
      <c r="B12" s="109" t="s">
        <v>168</v>
      </c>
      <c r="C12" s="87" t="s">
        <v>33</v>
      </c>
      <c r="D12" s="104">
        <f>HLOOKUP($A$7,Data!$B$133:$P$163,9,FALSE)+ABS(HLOOKUP("NATION",Data!$B$133:$P$163,9,FALSE)-HLOOKUP($A$7,Data!$B$133:$P$163,9,FALSE))/2</f>
        <v>6.0649999999999996E-2</v>
      </c>
      <c r="E12" s="87"/>
      <c r="F12" s="87" t="s">
        <v>33</v>
      </c>
      <c r="G12" s="107">
        <f>HLOOKUP($A$7,Data!$B$133:$P$163,9,FALSE)+ABS(HLOOKUP($C$7,Data!$B$133:$P$163,9,FALSE)-HLOOKUP($A$7,Data!$B$133:$P$163,9,FALSE))/2</f>
        <v>9.0749999999999997E-2</v>
      </c>
    </row>
    <row r="13" spans="1:7" ht="30" x14ac:dyDescent="0.25">
      <c r="A13" s="61" t="s">
        <v>67</v>
      </c>
      <c r="B13" s="60" t="s">
        <v>68</v>
      </c>
      <c r="C13" s="64" t="s">
        <v>33</v>
      </c>
      <c r="D13" s="103">
        <f>HLOOKUP($A$7,Data!$B$133:$P$163,18,FALSE)+ABS(HLOOKUP("NATION",Data!$B$133:$P$163,18,FALSE)-HLOOKUP($A$7,Data!$B$133:$P$163,18,FALSE))/2</f>
        <v>0.37072218937553603</v>
      </c>
      <c r="E13" s="64"/>
      <c r="F13" s="64" t="s">
        <v>33</v>
      </c>
      <c r="G13" s="106" t="e">
        <f>HLOOKUP($A$7,Data!$B$133:$P$163,18,FALSE)+ABS(HLOOKUP($C$7,Data!$B$133:$P$163,18,FALSE)-HLOOKUP($A$7,Data!$B$133:$P$163,18,FALSE))/2</f>
        <v>#DIV/0!</v>
      </c>
    </row>
    <row r="14" spans="1:7" ht="30" x14ac:dyDescent="0.25">
      <c r="A14" s="62"/>
      <c r="B14" s="63" t="s">
        <v>69</v>
      </c>
      <c r="C14" s="32" t="s">
        <v>33</v>
      </c>
      <c r="D14" s="105">
        <f>HLOOKUP($A$7,Data!$B$133:$P$163,22,FALSE)+ABS(HLOOKUP("NATION",Data!$B$133:$P$163,22,FALSE)-HLOOKUP($A$7,Data!$B$133:$P$163,22,FALSE))/2</f>
        <v>0.11102311382247648</v>
      </c>
      <c r="E14" s="32"/>
      <c r="F14" s="32" t="s">
        <v>33</v>
      </c>
      <c r="G14" s="108" t="e">
        <f>HLOOKUP($A$7,Data!$B$133:$P$163,22,FALSE)+ABS(HLOOKUP($C$7,Data!$B$133:$P$163,22,FALSE)-HLOOKUP($A$7,Data!$B$133:$P$163,22,FALSE))/2</f>
        <v>#DIV/0!</v>
      </c>
    </row>
    <row r="15" spans="1:7" ht="30" x14ac:dyDescent="0.25">
      <c r="A15" s="62"/>
      <c r="B15" s="63" t="s">
        <v>70</v>
      </c>
      <c r="C15" s="32" t="s">
        <v>33</v>
      </c>
      <c r="D15" s="105">
        <f>HLOOKUP($A$7,Data!$B$133:$P$163,26,FALSE)+ABS(HLOOKUP("NATION",Data!$B$133:$P$163,26,FALSE)-HLOOKUP($A$7,Data!$B$133:$P$163,26,FALSE))/2</f>
        <v>6.0776656264919161E-2</v>
      </c>
      <c r="E15" s="32"/>
      <c r="F15" s="32" t="s">
        <v>33</v>
      </c>
      <c r="G15" s="108" t="e">
        <f>HLOOKUP($A$7,Data!$B$133:$P$163,26,FALSE)+ABS(HLOOKUP($C$7,Data!$B$133:$P$163,26,FALSE)-HLOOKUP($A$7,Data!$B$133:$P$163,26,FALSE))/2</f>
        <v>#DIV/0!</v>
      </c>
    </row>
    <row r="16" spans="1:7" ht="30.75" thickBot="1" x14ac:dyDescent="0.3">
      <c r="A16" s="149"/>
      <c r="B16" s="109" t="s">
        <v>71</v>
      </c>
      <c r="C16" s="150" t="s">
        <v>33</v>
      </c>
      <c r="D16" s="104">
        <f>HLOOKUP($A$7,Data!$B$133:$P$163,30,FALSE)+ABS(HLOOKUP("NATION",Data!$B$133:$P$163,30,FALSE)-HLOOKUP($A$7,Data!$B$133:$P$163,30,FALSE))/2</f>
        <v>3.1539184993044096E-2</v>
      </c>
      <c r="E16" s="150"/>
      <c r="F16" s="150" t="s">
        <v>33</v>
      </c>
      <c r="G16" s="107" t="e">
        <f>HLOOKUP($A$7,Data!$B$133:$P$163,30,FALSE)+ABS(HLOOKUP($C$7,Data!$B$133:$P$163,30,FALSE)-HLOOKUP($A$7,Data!$B$133:$P$163,30,FALSE))/2</f>
        <v>#DIV/0!</v>
      </c>
    </row>
    <row r="17" spans="1:7" ht="30.75" thickBot="1" x14ac:dyDescent="0.3">
      <c r="A17" s="151" t="s">
        <v>179</v>
      </c>
      <c r="B17" s="152" t="s">
        <v>183</v>
      </c>
      <c r="C17" s="154" t="s">
        <v>34</v>
      </c>
      <c r="D17" s="171">
        <f>MAX(0,(HLOOKUP($A$7,Data!$B$6:$P$12,4,FALSE)-ABS(HLOOKUP("NATION",Data!$B$6:$P$12,4,FALSE)-HLOOKUP($A$7,Data!$B$6:$P$12,4,FALSE))/2))</f>
        <v>11247</v>
      </c>
      <c r="E17" s="153"/>
      <c r="F17" s="154" t="s">
        <v>34</v>
      </c>
      <c r="G17" s="172" t="e">
        <f>MAX(0,(HLOOKUP($A$7,Data!$B$6:$P$12,4,FALSE)-ABS(HLOOKUP($C$7,Data!$B$6:$P$12,4,FALSE)-HLOOKUP($A$7,Data!$B$6:$P$12,4,FALSE))/2))</f>
        <v>#N/A</v>
      </c>
    </row>
  </sheetData>
  <mergeCells count="3">
    <mergeCell ref="A4:E4"/>
    <mergeCell ref="C10:D10"/>
    <mergeCell ref="F10:G10"/>
  </mergeCells>
  <dataValidations count="1">
    <dataValidation type="list" allowBlank="1" showInputMessage="1" showErrorMessage="1" sqref="C7">
      <formula1>Geographies</formula1>
    </dataValidation>
  </dataValidations>
  <pageMargins left="0.7" right="0.7" top="0.75" bottom="0.75" header="0.3" footer="0.3"/>
  <pageSetup scale="9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5:R164"/>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RowHeight="15" x14ac:dyDescent="0.25"/>
  <cols>
    <col min="1" max="1" width="26.5703125" customWidth="1"/>
    <col min="2" max="4" width="12.140625" bestFit="1" customWidth="1"/>
    <col min="5" max="5" width="12.7109375" bestFit="1" customWidth="1"/>
    <col min="6" max="6" width="11.5703125" bestFit="1" customWidth="1"/>
    <col min="7" max="12" width="9.28515625" bestFit="1" customWidth="1"/>
    <col min="13" max="13" width="11.5703125" bestFit="1" customWidth="1"/>
    <col min="14" max="16" width="9.28515625" bestFit="1" customWidth="1"/>
  </cols>
  <sheetData>
    <row r="5" spans="1:18" x14ac:dyDescent="0.25">
      <c r="A5" s="2" t="s">
        <v>1</v>
      </c>
    </row>
    <row r="6" spans="1:18" x14ac:dyDescent="0.25">
      <c r="A6" s="2" t="s">
        <v>2</v>
      </c>
      <c r="B6" t="s">
        <v>197</v>
      </c>
      <c r="C6" t="s">
        <v>198</v>
      </c>
    </row>
    <row r="7" spans="1:18" x14ac:dyDescent="0.25">
      <c r="A7" s="2" t="s">
        <v>0</v>
      </c>
    </row>
    <row r="8" spans="1:18" x14ac:dyDescent="0.25">
      <c r="A8" s="4" t="s">
        <v>72</v>
      </c>
      <c r="B8" s="1">
        <v>4031</v>
      </c>
      <c r="C8">
        <v>309138711</v>
      </c>
      <c r="Q8" s="1"/>
      <c r="R8" s="1"/>
    </row>
    <row r="9" spans="1:18" x14ac:dyDescent="0.25">
      <c r="A9" s="4" t="s">
        <v>25</v>
      </c>
      <c r="B9" s="1">
        <v>25180</v>
      </c>
      <c r="C9">
        <v>53046</v>
      </c>
      <c r="Q9" s="1"/>
      <c r="R9" s="1"/>
    </row>
    <row r="10" spans="1:18" x14ac:dyDescent="0.25">
      <c r="A10" s="4" t="s">
        <v>73</v>
      </c>
      <c r="B10" s="6">
        <v>7.86</v>
      </c>
      <c r="C10">
        <v>9.9700000000000006</v>
      </c>
      <c r="Q10" s="6"/>
      <c r="R10" s="6"/>
    </row>
    <row r="11" spans="1:18" x14ac:dyDescent="0.25">
      <c r="A11" s="4" t="s">
        <v>74</v>
      </c>
      <c r="B11" s="5">
        <v>61.05</v>
      </c>
      <c r="C11">
        <v>52.94</v>
      </c>
      <c r="Q11" s="5"/>
      <c r="R11" s="5"/>
    </row>
    <row r="12" spans="1:18" x14ac:dyDescent="0.25">
      <c r="A12" s="4" t="s">
        <v>75</v>
      </c>
      <c r="B12" s="1">
        <v>1925</v>
      </c>
      <c r="C12">
        <v>156533205</v>
      </c>
      <c r="Q12" s="1"/>
      <c r="R12" s="1"/>
    </row>
    <row r="13" spans="1:18" x14ac:dyDescent="0.25">
      <c r="A13" s="4" t="s">
        <v>76</v>
      </c>
      <c r="B13" s="69">
        <v>7.74</v>
      </c>
      <c r="C13">
        <v>9.2899999999999991</v>
      </c>
      <c r="Q13" s="69"/>
      <c r="R13" s="69"/>
    </row>
    <row r="14" spans="1:18" x14ac:dyDescent="0.25">
      <c r="A14" s="4" t="s">
        <v>89</v>
      </c>
      <c r="B14" s="70">
        <v>19.350000000000001</v>
      </c>
      <c r="C14">
        <v>25.44</v>
      </c>
      <c r="Q14" s="70"/>
      <c r="R14" s="70"/>
    </row>
    <row r="15" spans="1:18" x14ac:dyDescent="0.25">
      <c r="A15" s="4" t="s">
        <v>77</v>
      </c>
      <c r="B15" s="1">
        <v>91</v>
      </c>
      <c r="C15">
        <v>10672634</v>
      </c>
      <c r="Q15" s="1"/>
      <c r="R15" s="1"/>
    </row>
    <row r="16" spans="1:18" x14ac:dyDescent="0.25">
      <c r="A16" s="4" t="s">
        <v>78</v>
      </c>
      <c r="B16" s="7">
        <v>677</v>
      </c>
      <c r="C16">
        <v>29308853</v>
      </c>
      <c r="Q16" s="7"/>
      <c r="R16" s="7"/>
    </row>
    <row r="17" spans="1:18" x14ac:dyDescent="0.25">
      <c r="A17" s="4" t="s">
        <v>79</v>
      </c>
      <c r="B17" s="1">
        <v>572</v>
      </c>
      <c r="C17">
        <v>36828619</v>
      </c>
      <c r="Q17" s="1"/>
      <c r="R17" s="1"/>
    </row>
    <row r="18" spans="1:18" x14ac:dyDescent="0.25">
      <c r="A18" s="4" t="s">
        <v>80</v>
      </c>
      <c r="B18" s="7">
        <v>181</v>
      </c>
      <c r="C18">
        <v>40622092</v>
      </c>
      <c r="Q18" s="7"/>
      <c r="R18" s="7"/>
    </row>
    <row r="19" spans="1:18" x14ac:dyDescent="0.25">
      <c r="A19" s="4" t="s">
        <v>81</v>
      </c>
      <c r="B19" s="1">
        <v>38</v>
      </c>
      <c r="C19">
        <v>1770344</v>
      </c>
      <c r="Q19" s="1"/>
      <c r="R19" s="1"/>
    </row>
    <row r="20" spans="1:18" x14ac:dyDescent="0.25">
      <c r="A20" s="4" t="s">
        <v>82</v>
      </c>
      <c r="B20" s="7">
        <v>81</v>
      </c>
      <c r="C20">
        <v>3203589</v>
      </c>
      <c r="Q20" s="7"/>
      <c r="R20" s="7"/>
    </row>
    <row r="21" spans="1:18" x14ac:dyDescent="0.25">
      <c r="A21" s="4" t="s">
        <v>83</v>
      </c>
      <c r="B21" s="1">
        <v>26</v>
      </c>
      <c r="C21">
        <v>3118905</v>
      </c>
      <c r="Q21" s="1"/>
      <c r="R21" s="1"/>
    </row>
    <row r="22" spans="1:18" x14ac:dyDescent="0.25">
      <c r="A22" s="4" t="s">
        <v>84</v>
      </c>
      <c r="B22" s="7">
        <v>4</v>
      </c>
      <c r="C22">
        <v>1756895</v>
      </c>
      <c r="Q22" s="7"/>
      <c r="R22" s="7"/>
    </row>
    <row r="23" spans="1:18" x14ac:dyDescent="0.25">
      <c r="A23" s="4" t="s">
        <v>85</v>
      </c>
      <c r="B23" s="1">
        <v>125</v>
      </c>
      <c r="C23">
        <v>7754367</v>
      </c>
      <c r="Q23" s="1"/>
      <c r="R23" s="1"/>
    </row>
    <row r="24" spans="1:18" x14ac:dyDescent="0.25">
      <c r="A24" s="4" t="s">
        <v>86</v>
      </c>
      <c r="B24" s="7">
        <v>390</v>
      </c>
      <c r="C24">
        <v>11234746</v>
      </c>
      <c r="Q24" s="7"/>
      <c r="R24" s="7"/>
    </row>
    <row r="25" spans="1:18" x14ac:dyDescent="0.25">
      <c r="A25" s="4" t="s">
        <v>87</v>
      </c>
      <c r="B25" s="1">
        <v>200</v>
      </c>
      <c r="C25">
        <v>9839567</v>
      </c>
      <c r="Q25" s="1"/>
      <c r="R25" s="1"/>
    </row>
    <row r="26" spans="1:18" x14ac:dyDescent="0.25">
      <c r="A26" s="4" t="s">
        <v>88</v>
      </c>
      <c r="B26" s="7">
        <v>60</v>
      </c>
      <c r="C26">
        <v>6848913</v>
      </c>
      <c r="Q26" s="7"/>
      <c r="R26" s="7"/>
    </row>
    <row r="27" spans="1:18" x14ac:dyDescent="0.25">
      <c r="A27" s="4" t="s">
        <v>126</v>
      </c>
      <c r="B27" s="7">
        <v>317</v>
      </c>
      <c r="C27">
        <v>30822835</v>
      </c>
      <c r="Q27" s="7"/>
      <c r="R27" s="7"/>
    </row>
    <row r="28" spans="1:18" x14ac:dyDescent="0.25">
      <c r="A28" s="4" t="s">
        <v>127</v>
      </c>
      <c r="B28" s="1">
        <v>2461</v>
      </c>
      <c r="C28">
        <v>163664576</v>
      </c>
      <c r="Q28" s="1"/>
      <c r="R28" s="1"/>
    </row>
    <row r="29" spans="1:18" x14ac:dyDescent="0.25">
      <c r="A29" s="4" t="s">
        <v>139</v>
      </c>
      <c r="B29" s="7">
        <v>354</v>
      </c>
      <c r="C29">
        <v>40671441</v>
      </c>
      <c r="Q29" s="7"/>
      <c r="R29" s="7"/>
    </row>
    <row r="30" spans="1:18" x14ac:dyDescent="0.25">
      <c r="A30" s="4"/>
    </row>
    <row r="31" spans="1:18" x14ac:dyDescent="0.25">
      <c r="A31" s="4"/>
    </row>
    <row r="32" spans="1:18" x14ac:dyDescent="0.25">
      <c r="A32" s="4"/>
    </row>
    <row r="33" spans="1:1" x14ac:dyDescent="0.25">
      <c r="A33" s="4"/>
    </row>
    <row r="34" spans="1:1" x14ac:dyDescent="0.25">
      <c r="A34" s="4"/>
    </row>
    <row r="35" spans="1:1" x14ac:dyDescent="0.25">
      <c r="A35" s="4"/>
    </row>
    <row r="36" spans="1:1" x14ac:dyDescent="0.25">
      <c r="A36" s="4"/>
    </row>
    <row r="37" spans="1:1" x14ac:dyDescent="0.25">
      <c r="A37" s="4"/>
    </row>
    <row r="38" spans="1:1" x14ac:dyDescent="0.25">
      <c r="A38" s="4"/>
    </row>
    <row r="39" spans="1:1" x14ac:dyDescent="0.25">
      <c r="A39" s="4"/>
    </row>
    <row r="40" spans="1:1" x14ac:dyDescent="0.25">
      <c r="A40" s="4"/>
    </row>
    <row r="41" spans="1:1" x14ac:dyDescent="0.25">
      <c r="A41" s="4"/>
    </row>
    <row r="42" spans="1:1" x14ac:dyDescent="0.25">
      <c r="A42" s="4"/>
    </row>
    <row r="43" spans="1:1" x14ac:dyDescent="0.25">
      <c r="A43" s="4"/>
    </row>
    <row r="44" spans="1:1" x14ac:dyDescent="0.25">
      <c r="A44" s="4"/>
    </row>
    <row r="45" spans="1:1" x14ac:dyDescent="0.25">
      <c r="A45" s="4"/>
    </row>
    <row r="46" spans="1:1" x14ac:dyDescent="0.25">
      <c r="A46" s="4"/>
    </row>
    <row r="47" spans="1:1" x14ac:dyDescent="0.25">
      <c r="A47" s="4"/>
    </row>
    <row r="48" spans="1:1" x14ac:dyDescent="0.25">
      <c r="A48" s="4"/>
    </row>
    <row r="49" spans="1:16" x14ac:dyDescent="0.25">
      <c r="A49" s="4"/>
    </row>
    <row r="50" spans="1:16" x14ac:dyDescent="0.25">
      <c r="A50" s="4"/>
    </row>
    <row r="51" spans="1:16" x14ac:dyDescent="0.25">
      <c r="A51" s="4"/>
    </row>
    <row r="52" spans="1:16" x14ac:dyDescent="0.25">
      <c r="A52" s="4"/>
    </row>
    <row r="53" spans="1:16" x14ac:dyDescent="0.25">
      <c r="A53" s="4"/>
    </row>
    <row r="54" spans="1:16" x14ac:dyDescent="0.25">
      <c r="A54" s="2" t="s">
        <v>2</v>
      </c>
      <c r="B54" t="str">
        <f>B6</f>
        <v>For Tract 30111000300</v>
      </c>
      <c r="C54" t="str">
        <f t="shared" ref="C54:P54" si="0">C6</f>
        <v>Nation</v>
      </c>
      <c r="D54">
        <f t="shared" si="0"/>
        <v>0</v>
      </c>
      <c r="E54">
        <f t="shared" si="0"/>
        <v>0</v>
      </c>
      <c r="F54">
        <f t="shared" si="0"/>
        <v>0</v>
      </c>
      <c r="G54">
        <f t="shared" si="0"/>
        <v>0</v>
      </c>
      <c r="H54">
        <f t="shared" si="0"/>
        <v>0</v>
      </c>
      <c r="I54">
        <f t="shared" si="0"/>
        <v>0</v>
      </c>
      <c r="J54">
        <f t="shared" si="0"/>
        <v>0</v>
      </c>
      <c r="K54">
        <f t="shared" si="0"/>
        <v>0</v>
      </c>
      <c r="L54">
        <f t="shared" si="0"/>
        <v>0</v>
      </c>
      <c r="M54">
        <f t="shared" si="0"/>
        <v>0</v>
      </c>
      <c r="N54">
        <f t="shared" si="0"/>
        <v>0</v>
      </c>
      <c r="O54">
        <f t="shared" si="0"/>
        <v>0</v>
      </c>
      <c r="P54">
        <f t="shared" si="0"/>
        <v>0</v>
      </c>
    </row>
    <row r="55" spans="1:16" x14ac:dyDescent="0.25">
      <c r="A55" s="54" t="s">
        <v>42</v>
      </c>
    </row>
    <row r="56" spans="1:16" x14ac:dyDescent="0.25">
      <c r="A56" s="3" t="s">
        <v>43</v>
      </c>
      <c r="B56" s="73">
        <f>B13/100</f>
        <v>7.7399999999999997E-2</v>
      </c>
      <c r="C56" s="73">
        <f t="shared" ref="C56:P56" si="1">C13/100</f>
        <v>9.2899999999999996E-2</v>
      </c>
      <c r="D56" s="73">
        <f t="shared" si="1"/>
        <v>0</v>
      </c>
      <c r="E56" s="73">
        <f t="shared" si="1"/>
        <v>0</v>
      </c>
      <c r="F56" s="73">
        <f t="shared" si="1"/>
        <v>0</v>
      </c>
      <c r="G56" s="73">
        <f t="shared" si="1"/>
        <v>0</v>
      </c>
      <c r="H56" s="73">
        <f t="shared" si="1"/>
        <v>0</v>
      </c>
      <c r="I56" s="73">
        <f t="shared" si="1"/>
        <v>0</v>
      </c>
      <c r="J56" s="73">
        <f t="shared" si="1"/>
        <v>0</v>
      </c>
      <c r="K56" s="73">
        <f t="shared" si="1"/>
        <v>0</v>
      </c>
      <c r="L56" s="73">
        <f t="shared" si="1"/>
        <v>0</v>
      </c>
      <c r="M56" s="73">
        <f t="shared" si="1"/>
        <v>0</v>
      </c>
      <c r="N56" s="73">
        <f t="shared" si="1"/>
        <v>0</v>
      </c>
      <c r="O56" s="73">
        <f t="shared" si="1"/>
        <v>0</v>
      </c>
      <c r="P56" s="73">
        <f t="shared" si="1"/>
        <v>0</v>
      </c>
    </row>
    <row r="57" spans="1:16" ht="30" x14ac:dyDescent="0.25">
      <c r="A57" s="3" t="s">
        <v>44</v>
      </c>
      <c r="B57" s="73">
        <f>B12/B8</f>
        <v>0.47754899528652939</v>
      </c>
      <c r="C57" s="73">
        <f t="shared" ref="C57:P57" si="2">C12/C8</f>
        <v>0.50635264827768534</v>
      </c>
      <c r="D57" s="73" t="e">
        <f t="shared" si="2"/>
        <v>#DIV/0!</v>
      </c>
      <c r="E57" s="73" t="e">
        <f t="shared" si="2"/>
        <v>#DIV/0!</v>
      </c>
      <c r="F57" s="73" t="e">
        <f t="shared" si="2"/>
        <v>#DIV/0!</v>
      </c>
      <c r="G57" s="73" t="e">
        <f t="shared" si="2"/>
        <v>#DIV/0!</v>
      </c>
      <c r="H57" s="73" t="e">
        <f t="shared" si="2"/>
        <v>#DIV/0!</v>
      </c>
      <c r="I57" s="73" t="e">
        <f t="shared" si="2"/>
        <v>#DIV/0!</v>
      </c>
      <c r="J57" s="73" t="e">
        <f t="shared" si="2"/>
        <v>#DIV/0!</v>
      </c>
      <c r="K57" s="73" t="e">
        <f t="shared" si="2"/>
        <v>#DIV/0!</v>
      </c>
      <c r="L57" s="73" t="e">
        <f t="shared" si="2"/>
        <v>#DIV/0!</v>
      </c>
      <c r="M57" s="73" t="e">
        <f t="shared" si="2"/>
        <v>#DIV/0!</v>
      </c>
      <c r="N57" s="73" t="e">
        <f t="shared" si="2"/>
        <v>#DIV/0!</v>
      </c>
      <c r="O57" s="73" t="e">
        <f t="shared" si="2"/>
        <v>#DIV/0!</v>
      </c>
      <c r="P57" s="73" t="e">
        <f t="shared" si="2"/>
        <v>#DIV/0!</v>
      </c>
    </row>
    <row r="58" spans="1:16" x14ac:dyDescent="0.25">
      <c r="A58" s="3" t="s">
        <v>38</v>
      </c>
      <c r="B58" s="71">
        <f>B14</f>
        <v>19.350000000000001</v>
      </c>
      <c r="C58" s="71">
        <f t="shared" ref="C58:P58" si="3">C14</f>
        <v>25.44</v>
      </c>
      <c r="D58" s="71">
        <f t="shared" si="3"/>
        <v>0</v>
      </c>
      <c r="E58" s="71">
        <f t="shared" si="3"/>
        <v>0</v>
      </c>
      <c r="F58" s="71">
        <f t="shared" si="3"/>
        <v>0</v>
      </c>
      <c r="G58" s="71">
        <f t="shared" si="3"/>
        <v>0</v>
      </c>
      <c r="H58" s="71">
        <f t="shared" si="3"/>
        <v>0</v>
      </c>
      <c r="I58" s="71">
        <f t="shared" si="3"/>
        <v>0</v>
      </c>
      <c r="J58" s="71">
        <f t="shared" si="3"/>
        <v>0</v>
      </c>
      <c r="K58" s="71">
        <f t="shared" si="3"/>
        <v>0</v>
      </c>
      <c r="L58" s="71">
        <f t="shared" si="3"/>
        <v>0</v>
      </c>
      <c r="M58" s="71">
        <f t="shared" si="3"/>
        <v>0</v>
      </c>
      <c r="N58" s="71">
        <f t="shared" si="3"/>
        <v>0</v>
      </c>
      <c r="O58" s="71">
        <f t="shared" si="3"/>
        <v>0</v>
      </c>
      <c r="P58" s="71">
        <f t="shared" si="3"/>
        <v>0</v>
      </c>
    </row>
    <row r="59" spans="1:16" x14ac:dyDescent="0.25">
      <c r="A59" s="4" t="s">
        <v>37</v>
      </c>
      <c r="B59" s="71">
        <f>B8</f>
        <v>4031</v>
      </c>
      <c r="C59" s="71">
        <f t="shared" ref="C59:P59" si="4">C8</f>
        <v>309138711</v>
      </c>
      <c r="D59" s="71">
        <f t="shared" si="4"/>
        <v>0</v>
      </c>
      <c r="E59" s="71">
        <f t="shared" si="4"/>
        <v>0</v>
      </c>
      <c r="F59" s="71">
        <f t="shared" si="4"/>
        <v>0</v>
      </c>
      <c r="G59" s="71">
        <f t="shared" si="4"/>
        <v>0</v>
      </c>
      <c r="H59" s="71">
        <f t="shared" si="4"/>
        <v>0</v>
      </c>
      <c r="I59" s="71">
        <f t="shared" si="4"/>
        <v>0</v>
      </c>
      <c r="J59" s="71">
        <f t="shared" si="4"/>
        <v>0</v>
      </c>
      <c r="K59" s="71">
        <f t="shared" si="4"/>
        <v>0</v>
      </c>
      <c r="L59" s="71">
        <f t="shared" si="4"/>
        <v>0</v>
      </c>
      <c r="M59" s="71">
        <f t="shared" si="4"/>
        <v>0</v>
      </c>
      <c r="N59" s="71">
        <f t="shared" si="4"/>
        <v>0</v>
      </c>
      <c r="O59" s="71">
        <f t="shared" si="4"/>
        <v>0</v>
      </c>
      <c r="P59" s="71">
        <f t="shared" si="4"/>
        <v>0</v>
      </c>
    </row>
    <row r="60" spans="1:16" x14ac:dyDescent="0.25">
      <c r="A60" s="4" t="s">
        <v>23</v>
      </c>
      <c r="B60" s="73">
        <f>B9/(HLOOKUP("NATION",$B$6:$P$12,4,FALSE))</f>
        <v>0.47468235116691176</v>
      </c>
      <c r="C60" s="73">
        <f t="shared" ref="C60:P60" si="5">C9/(HLOOKUP("NATION",$B$6:$P$12,4,FALSE))</f>
        <v>1</v>
      </c>
      <c r="D60" s="73">
        <f>D9/(HLOOKUP("NATION",$B$6:$P$12,4,FALSE))</f>
        <v>0</v>
      </c>
      <c r="E60" s="73">
        <f t="shared" si="5"/>
        <v>0</v>
      </c>
      <c r="F60" s="73">
        <f t="shared" si="5"/>
        <v>0</v>
      </c>
      <c r="G60" s="73">
        <f t="shared" si="5"/>
        <v>0</v>
      </c>
      <c r="H60" s="73">
        <f t="shared" si="5"/>
        <v>0</v>
      </c>
      <c r="I60" s="73">
        <f t="shared" si="5"/>
        <v>0</v>
      </c>
      <c r="J60" s="73">
        <f t="shared" si="5"/>
        <v>0</v>
      </c>
      <c r="K60" s="73">
        <f t="shared" si="5"/>
        <v>0</v>
      </c>
      <c r="L60" s="73">
        <f t="shared" si="5"/>
        <v>0</v>
      </c>
      <c r="M60" s="73">
        <f t="shared" si="5"/>
        <v>0</v>
      </c>
      <c r="N60" s="73">
        <f t="shared" si="5"/>
        <v>0</v>
      </c>
      <c r="O60" s="73">
        <f t="shared" si="5"/>
        <v>0</v>
      </c>
      <c r="P60" s="73">
        <f t="shared" si="5"/>
        <v>0</v>
      </c>
    </row>
    <row r="61" spans="1:16" x14ac:dyDescent="0.25">
      <c r="A61" s="4"/>
      <c r="B61" s="8"/>
      <c r="C61" s="8"/>
      <c r="D61" s="8"/>
      <c r="E61" s="8"/>
      <c r="F61" s="8"/>
      <c r="G61" s="8"/>
      <c r="H61" s="8"/>
      <c r="I61" s="8"/>
      <c r="J61" s="8"/>
      <c r="K61" s="8"/>
      <c r="L61" s="8"/>
      <c r="M61" s="8"/>
      <c r="N61" s="8"/>
      <c r="O61" s="8"/>
      <c r="P61" s="8"/>
    </row>
    <row r="62" spans="1:16" x14ac:dyDescent="0.25">
      <c r="A62" s="40" t="s">
        <v>45</v>
      </c>
      <c r="B62" s="8"/>
      <c r="C62" s="8"/>
      <c r="D62" s="8"/>
      <c r="E62" s="8"/>
      <c r="F62" s="8"/>
      <c r="G62" s="8"/>
      <c r="H62" s="8"/>
      <c r="I62" s="8"/>
      <c r="J62" s="8"/>
      <c r="K62" s="8"/>
      <c r="L62" s="8"/>
      <c r="M62" s="8"/>
      <c r="N62" s="8"/>
      <c r="O62" s="8"/>
      <c r="P62" s="8"/>
    </row>
    <row r="63" spans="1:16" x14ac:dyDescent="0.25">
      <c r="A63" s="4" t="s">
        <v>46</v>
      </c>
      <c r="B63" s="8">
        <f>B10/100</f>
        <v>7.8600000000000003E-2</v>
      </c>
      <c r="C63" s="8">
        <f t="shared" ref="C63:P63" si="6">C10/100</f>
        <v>9.9700000000000011E-2</v>
      </c>
      <c r="D63" s="8">
        <f t="shared" si="6"/>
        <v>0</v>
      </c>
      <c r="E63" s="8">
        <f t="shared" si="6"/>
        <v>0</v>
      </c>
      <c r="F63" s="8">
        <f t="shared" si="6"/>
        <v>0</v>
      </c>
      <c r="G63" s="8">
        <f t="shared" si="6"/>
        <v>0</v>
      </c>
      <c r="H63" s="8">
        <f t="shared" si="6"/>
        <v>0</v>
      </c>
      <c r="I63" s="8">
        <f t="shared" si="6"/>
        <v>0</v>
      </c>
      <c r="J63" s="8">
        <f t="shared" si="6"/>
        <v>0</v>
      </c>
      <c r="K63" s="8">
        <f t="shared" si="6"/>
        <v>0</v>
      </c>
      <c r="L63" s="8">
        <f t="shared" si="6"/>
        <v>0</v>
      </c>
      <c r="M63" s="8">
        <f t="shared" si="6"/>
        <v>0</v>
      </c>
      <c r="N63" s="8">
        <f t="shared" si="6"/>
        <v>0</v>
      </c>
      <c r="O63" s="8">
        <f t="shared" si="6"/>
        <v>0</v>
      </c>
      <c r="P63" s="8">
        <f t="shared" si="6"/>
        <v>0</v>
      </c>
    </row>
    <row r="64" spans="1:16" x14ac:dyDescent="0.25">
      <c r="A64" s="4" t="s">
        <v>47</v>
      </c>
      <c r="B64" s="8">
        <f>B11/100</f>
        <v>0.61049999999999993</v>
      </c>
      <c r="C64" s="8">
        <f t="shared" ref="C64:P64" si="7">C11/100</f>
        <v>0.52939999999999998</v>
      </c>
      <c r="D64" s="8">
        <f t="shared" si="7"/>
        <v>0</v>
      </c>
      <c r="E64" s="8">
        <f t="shared" si="7"/>
        <v>0</v>
      </c>
      <c r="F64" s="8">
        <f t="shared" si="7"/>
        <v>0</v>
      </c>
      <c r="G64" s="8">
        <f t="shared" si="7"/>
        <v>0</v>
      </c>
      <c r="H64" s="8">
        <f t="shared" si="7"/>
        <v>0</v>
      </c>
      <c r="I64" s="8">
        <f t="shared" si="7"/>
        <v>0</v>
      </c>
      <c r="J64" s="8">
        <f t="shared" si="7"/>
        <v>0</v>
      </c>
      <c r="K64" s="8">
        <f t="shared" si="7"/>
        <v>0</v>
      </c>
      <c r="L64" s="8">
        <f t="shared" si="7"/>
        <v>0</v>
      </c>
      <c r="M64" s="8">
        <f t="shared" si="7"/>
        <v>0</v>
      </c>
      <c r="N64" s="8">
        <f t="shared" si="7"/>
        <v>0</v>
      </c>
      <c r="O64" s="8">
        <f t="shared" si="7"/>
        <v>0</v>
      </c>
      <c r="P64" s="8">
        <f t="shared" si="7"/>
        <v>0</v>
      </c>
    </row>
    <row r="65" spans="1:18" x14ac:dyDescent="0.25">
      <c r="A65" s="4" t="s">
        <v>39</v>
      </c>
      <c r="B65" s="8">
        <f>(B77+B78+B79+B84+B85+B86+B91+B92+B93+B98+B99+B100+B105+B106+B107)/(B27+B28+B29)</f>
        <v>0.60185185185185186</v>
      </c>
      <c r="C65" s="8">
        <f t="shared" ref="C65:P65" si="8">(C77+C78+C79+C84+C85+C86+C91+C92+C93+C98+C99+C100+C105+C106+C107)/(C27+C28+C29)</f>
        <v>0.42945159045086678</v>
      </c>
      <c r="D65" s="8" t="e">
        <f t="shared" si="8"/>
        <v>#DIV/0!</v>
      </c>
      <c r="E65" s="8" t="e">
        <f t="shared" si="8"/>
        <v>#DIV/0!</v>
      </c>
      <c r="F65" s="8" t="e">
        <f t="shared" si="8"/>
        <v>#DIV/0!</v>
      </c>
      <c r="G65" s="8" t="e">
        <f t="shared" si="8"/>
        <v>#DIV/0!</v>
      </c>
      <c r="H65" s="8" t="e">
        <f t="shared" si="8"/>
        <v>#DIV/0!</v>
      </c>
      <c r="I65" s="8" t="e">
        <f t="shared" si="8"/>
        <v>#DIV/0!</v>
      </c>
      <c r="J65" s="8" t="e">
        <f t="shared" si="8"/>
        <v>#DIV/0!</v>
      </c>
      <c r="K65" s="8" t="e">
        <f t="shared" si="8"/>
        <v>#DIV/0!</v>
      </c>
      <c r="L65" s="8" t="e">
        <f t="shared" si="8"/>
        <v>#DIV/0!</v>
      </c>
      <c r="M65" s="8" t="e">
        <f t="shared" si="8"/>
        <v>#DIV/0!</v>
      </c>
      <c r="N65" s="8" t="e">
        <f t="shared" si="8"/>
        <v>#DIV/0!</v>
      </c>
      <c r="O65" s="8" t="e">
        <f t="shared" si="8"/>
        <v>#DIV/0!</v>
      </c>
      <c r="P65" s="8" t="e">
        <f t="shared" si="8"/>
        <v>#DIV/0!</v>
      </c>
    </row>
    <row r="66" spans="1:18" x14ac:dyDescent="0.25">
      <c r="A66" s="4" t="s">
        <v>40</v>
      </c>
      <c r="B66" s="8">
        <f>(B80+B81+B87+B88+B94+B95+B101+B102+B108+B109)/(B27+B28+B29)</f>
        <v>0.30108556832694766</v>
      </c>
      <c r="C66" s="8">
        <f t="shared" ref="C66:P66" si="9">(C80+C81+C87+C88+C94+C95+C101+C102+C108+C109)/(C27+C28+C29)</f>
        <v>0.310788258143053</v>
      </c>
      <c r="D66" s="8" t="e">
        <f t="shared" si="9"/>
        <v>#DIV/0!</v>
      </c>
      <c r="E66" s="8" t="e">
        <f t="shared" si="9"/>
        <v>#DIV/0!</v>
      </c>
      <c r="F66" s="8" t="e">
        <f t="shared" si="9"/>
        <v>#DIV/0!</v>
      </c>
      <c r="G66" s="8" t="e">
        <f t="shared" si="9"/>
        <v>#DIV/0!</v>
      </c>
      <c r="H66" s="8" t="e">
        <f t="shared" si="9"/>
        <v>#DIV/0!</v>
      </c>
      <c r="I66" s="8" t="e">
        <f t="shared" si="9"/>
        <v>#DIV/0!</v>
      </c>
      <c r="J66" s="8" t="e">
        <f t="shared" si="9"/>
        <v>#DIV/0!</v>
      </c>
      <c r="K66" s="8" t="e">
        <f t="shared" si="9"/>
        <v>#DIV/0!</v>
      </c>
      <c r="L66" s="8" t="e">
        <f t="shared" si="9"/>
        <v>#DIV/0!</v>
      </c>
      <c r="M66" s="8" t="e">
        <f t="shared" si="9"/>
        <v>#DIV/0!</v>
      </c>
      <c r="N66" s="8" t="e">
        <f t="shared" si="9"/>
        <v>#DIV/0!</v>
      </c>
      <c r="O66" s="8" t="e">
        <f t="shared" si="9"/>
        <v>#DIV/0!</v>
      </c>
      <c r="P66" s="8" t="e">
        <f t="shared" si="9"/>
        <v>#DIV/0!</v>
      </c>
    </row>
    <row r="67" spans="1:18" x14ac:dyDescent="0.25">
      <c r="A67" s="4" t="s">
        <v>41</v>
      </c>
      <c r="B67" s="8">
        <f>(B82+B83+B89+B90+B96+B97+B103+B104+B110+B111)/(B27+B28+B29)</f>
        <v>9.7062579821200506E-2</v>
      </c>
      <c r="C67" s="8">
        <f t="shared" ref="C67:P67" si="10">(C82+C83+C89+C90+C96+C97+C103+C104+C110+C111)/(C27+C28+C29)</f>
        <v>0.25976015140608016</v>
      </c>
      <c r="D67" s="8" t="e">
        <f t="shared" si="10"/>
        <v>#DIV/0!</v>
      </c>
      <c r="E67" s="8" t="e">
        <f t="shared" si="10"/>
        <v>#DIV/0!</v>
      </c>
      <c r="F67" s="8" t="e">
        <f t="shared" si="10"/>
        <v>#DIV/0!</v>
      </c>
      <c r="G67" s="8" t="e">
        <f t="shared" si="10"/>
        <v>#DIV/0!</v>
      </c>
      <c r="H67" s="8" t="e">
        <f t="shared" si="10"/>
        <v>#DIV/0!</v>
      </c>
      <c r="I67" s="8" t="e">
        <f t="shared" si="10"/>
        <v>#DIV/0!</v>
      </c>
      <c r="J67" s="8" t="e">
        <f t="shared" si="10"/>
        <v>#DIV/0!</v>
      </c>
      <c r="K67" s="8" t="e">
        <f t="shared" si="10"/>
        <v>#DIV/0!</v>
      </c>
      <c r="L67" s="8" t="e">
        <f t="shared" si="10"/>
        <v>#DIV/0!</v>
      </c>
      <c r="M67" s="8" t="e">
        <f t="shared" si="10"/>
        <v>#DIV/0!</v>
      </c>
      <c r="N67" s="8" t="e">
        <f t="shared" si="10"/>
        <v>#DIV/0!</v>
      </c>
      <c r="O67" s="8" t="e">
        <f t="shared" si="10"/>
        <v>#DIV/0!</v>
      </c>
      <c r="P67" s="8" t="e">
        <f t="shared" si="10"/>
        <v>#DIV/0!</v>
      </c>
    </row>
    <row r="68" spans="1:18" x14ac:dyDescent="0.25">
      <c r="A68" s="4"/>
      <c r="B68" s="8"/>
      <c r="C68" s="8"/>
      <c r="D68" s="8"/>
      <c r="E68" s="8"/>
      <c r="F68" s="8"/>
      <c r="G68" s="8"/>
      <c r="H68" s="8"/>
      <c r="I68" s="8"/>
      <c r="J68" s="8"/>
      <c r="K68" s="8"/>
      <c r="L68" s="8"/>
      <c r="M68" s="8"/>
      <c r="N68" s="8"/>
      <c r="O68" s="8"/>
      <c r="P68" s="8"/>
    </row>
    <row r="69" spans="1:18" x14ac:dyDescent="0.25">
      <c r="A69" s="4"/>
      <c r="B69" s="8"/>
      <c r="C69" s="8"/>
      <c r="D69" s="8"/>
      <c r="E69" s="8"/>
      <c r="F69" s="8"/>
      <c r="G69" s="8"/>
      <c r="H69" s="8"/>
      <c r="I69" s="8"/>
      <c r="J69" s="8"/>
      <c r="K69" s="8"/>
      <c r="L69" s="8"/>
      <c r="M69" s="8"/>
      <c r="N69" s="8"/>
      <c r="O69" s="8"/>
      <c r="P69" s="8"/>
    </row>
    <row r="71" spans="1:18" x14ac:dyDescent="0.25">
      <c r="A71" s="2" t="s">
        <v>21</v>
      </c>
    </row>
    <row r="72" spans="1:18" x14ac:dyDescent="0.25">
      <c r="A72" s="40" t="s">
        <v>90</v>
      </c>
    </row>
    <row r="73" spans="1:18" x14ac:dyDescent="0.25">
      <c r="A73" s="4" t="s">
        <v>126</v>
      </c>
      <c r="B73" s="7">
        <v>317</v>
      </c>
      <c r="C73">
        <v>30822835</v>
      </c>
      <c r="Q73" s="7"/>
      <c r="R73" s="7"/>
    </row>
    <row r="74" spans="1:18" x14ac:dyDescent="0.25">
      <c r="A74" s="4" t="s">
        <v>127</v>
      </c>
      <c r="B74" s="1">
        <v>2461</v>
      </c>
      <c r="C74">
        <v>163664576</v>
      </c>
      <c r="Q74" s="1"/>
      <c r="R74" s="1"/>
    </row>
    <row r="75" spans="1:18" x14ac:dyDescent="0.25">
      <c r="A75" s="4" t="s">
        <v>91</v>
      </c>
      <c r="B75" s="69">
        <v>0</v>
      </c>
      <c r="C75">
        <v>24.1</v>
      </c>
      <c r="Q75" s="69"/>
      <c r="R75" s="69"/>
    </row>
    <row r="76" spans="1:18" x14ac:dyDescent="0.25">
      <c r="A76" s="4" t="s">
        <v>92</v>
      </c>
      <c r="B76" s="70">
        <v>6.05</v>
      </c>
      <c r="C76">
        <v>6.02</v>
      </c>
      <c r="Q76" s="70"/>
      <c r="R76" s="70"/>
    </row>
    <row r="77" spans="1:18" x14ac:dyDescent="0.25">
      <c r="A77" s="4" t="s">
        <v>93</v>
      </c>
      <c r="B77" s="1">
        <v>11</v>
      </c>
      <c r="C77">
        <v>681338</v>
      </c>
      <c r="Q77" s="1"/>
      <c r="R77" s="1"/>
    </row>
    <row r="78" spans="1:18" x14ac:dyDescent="0.25">
      <c r="A78" s="4" t="s">
        <v>94</v>
      </c>
      <c r="B78" s="7">
        <v>130</v>
      </c>
      <c r="C78">
        <v>4300637</v>
      </c>
      <c r="Q78" s="7"/>
      <c r="R78" s="7"/>
    </row>
    <row r="79" spans="1:18" x14ac:dyDescent="0.25">
      <c r="A79" s="4" t="s">
        <v>95</v>
      </c>
      <c r="B79" s="1">
        <v>109</v>
      </c>
      <c r="C79">
        <v>9120697</v>
      </c>
      <c r="Q79" s="1"/>
      <c r="R79" s="1"/>
    </row>
    <row r="80" spans="1:18" x14ac:dyDescent="0.25">
      <c r="A80" s="4" t="s">
        <v>96</v>
      </c>
      <c r="B80" s="7">
        <v>55</v>
      </c>
      <c r="C80">
        <v>12411104</v>
      </c>
      <c r="Q80" s="7"/>
      <c r="R80" s="7"/>
    </row>
    <row r="81" spans="1:18" x14ac:dyDescent="0.25">
      <c r="A81" s="4" t="s">
        <v>97</v>
      </c>
      <c r="B81" s="1">
        <v>0</v>
      </c>
      <c r="C81">
        <v>1429182</v>
      </c>
      <c r="Q81" s="1"/>
      <c r="R81" s="1"/>
    </row>
    <row r="82" spans="1:18" x14ac:dyDescent="0.25">
      <c r="A82" s="4" t="s">
        <v>98</v>
      </c>
      <c r="B82" s="7">
        <v>12</v>
      </c>
      <c r="C82">
        <v>2678468</v>
      </c>
      <c r="Q82" s="7"/>
      <c r="R82" s="7"/>
    </row>
    <row r="83" spans="1:18" x14ac:dyDescent="0.25">
      <c r="A83" s="4" t="s">
        <v>99</v>
      </c>
      <c r="B83" s="1">
        <v>0</v>
      </c>
      <c r="C83">
        <v>201409</v>
      </c>
      <c r="Q83" s="1"/>
      <c r="R83" s="1"/>
    </row>
    <row r="84" spans="1:18" x14ac:dyDescent="0.25">
      <c r="A84" s="4" t="s">
        <v>100</v>
      </c>
      <c r="B84" s="1">
        <v>42</v>
      </c>
      <c r="C84">
        <v>1713886</v>
      </c>
      <c r="Q84" s="1"/>
      <c r="R84" s="1"/>
    </row>
    <row r="85" spans="1:18" x14ac:dyDescent="0.25">
      <c r="A85" s="4" t="s">
        <v>101</v>
      </c>
      <c r="B85" s="7">
        <v>27</v>
      </c>
      <c r="C85">
        <v>3447081</v>
      </c>
      <c r="Q85" s="7"/>
      <c r="R85" s="7"/>
    </row>
    <row r="86" spans="1:18" x14ac:dyDescent="0.25">
      <c r="A86" s="4" t="s">
        <v>102</v>
      </c>
      <c r="B86" s="1">
        <v>373</v>
      </c>
      <c r="C86">
        <v>9955863</v>
      </c>
      <c r="Q86" s="1"/>
      <c r="R86" s="1"/>
    </row>
    <row r="87" spans="1:18" x14ac:dyDescent="0.25">
      <c r="A87" s="4" t="s">
        <v>103</v>
      </c>
      <c r="B87" s="7">
        <v>196</v>
      </c>
      <c r="C87">
        <v>9611162</v>
      </c>
      <c r="Q87" s="7"/>
      <c r="R87" s="7"/>
    </row>
    <row r="88" spans="1:18" x14ac:dyDescent="0.25">
      <c r="A88" s="4" t="s">
        <v>104</v>
      </c>
      <c r="B88" s="1">
        <v>62</v>
      </c>
      <c r="C88">
        <v>3453460</v>
      </c>
      <c r="Q88" s="1"/>
      <c r="R88" s="1"/>
    </row>
    <row r="89" spans="1:18" x14ac:dyDescent="0.25">
      <c r="A89" s="4" t="s">
        <v>105</v>
      </c>
      <c r="B89" s="7">
        <v>83</v>
      </c>
      <c r="C89">
        <v>9178433</v>
      </c>
      <c r="Q89" s="7"/>
      <c r="R89" s="7"/>
    </row>
    <row r="90" spans="1:18" x14ac:dyDescent="0.25">
      <c r="A90" s="4" t="s">
        <v>106</v>
      </c>
      <c r="B90" s="1">
        <v>9</v>
      </c>
      <c r="C90">
        <v>3824405</v>
      </c>
      <c r="Q90" s="1"/>
      <c r="R90" s="1"/>
    </row>
    <row r="91" spans="1:18" x14ac:dyDescent="0.25">
      <c r="A91" s="4" t="s">
        <v>107</v>
      </c>
      <c r="B91" s="1">
        <v>21</v>
      </c>
      <c r="C91">
        <v>2031173</v>
      </c>
      <c r="Q91" s="1"/>
      <c r="R91" s="1"/>
    </row>
    <row r="92" spans="1:18" x14ac:dyDescent="0.25">
      <c r="A92" s="4" t="s">
        <v>108</v>
      </c>
      <c r="B92" s="7">
        <v>49</v>
      </c>
      <c r="C92">
        <v>3113546</v>
      </c>
      <c r="Q92" s="7"/>
      <c r="R92" s="7"/>
    </row>
    <row r="93" spans="1:18" x14ac:dyDescent="0.25">
      <c r="A93" s="4" t="s">
        <v>109</v>
      </c>
      <c r="B93" s="1">
        <v>304</v>
      </c>
      <c r="C93">
        <v>10492611</v>
      </c>
      <c r="Q93" s="1"/>
      <c r="R93" s="1"/>
    </row>
    <row r="94" spans="1:18" x14ac:dyDescent="0.25">
      <c r="A94" s="4" t="s">
        <v>110</v>
      </c>
      <c r="B94" s="7">
        <v>159</v>
      </c>
      <c r="C94">
        <v>8843172</v>
      </c>
      <c r="Q94" s="7"/>
      <c r="R94" s="7"/>
    </row>
    <row r="95" spans="1:18" x14ac:dyDescent="0.25">
      <c r="A95" s="4" t="s">
        <v>111</v>
      </c>
      <c r="B95" s="1">
        <v>76</v>
      </c>
      <c r="C95">
        <v>3644168</v>
      </c>
      <c r="Q95" s="1"/>
      <c r="R95" s="1"/>
    </row>
    <row r="96" spans="1:18" x14ac:dyDescent="0.25">
      <c r="A96" s="4" t="s">
        <v>112</v>
      </c>
      <c r="B96" s="7">
        <v>41</v>
      </c>
      <c r="C96">
        <v>8343500</v>
      </c>
      <c r="Q96" s="7"/>
      <c r="R96" s="7"/>
    </row>
    <row r="97" spans="1:18" x14ac:dyDescent="0.25">
      <c r="A97" s="4" t="s">
        <v>113</v>
      </c>
      <c r="B97" s="1">
        <v>10</v>
      </c>
      <c r="C97">
        <v>4759335</v>
      </c>
      <c r="Q97" s="1"/>
      <c r="R97" s="1"/>
    </row>
    <row r="98" spans="1:18" x14ac:dyDescent="0.25">
      <c r="A98" s="4" t="s">
        <v>114</v>
      </c>
      <c r="B98" s="1">
        <v>9</v>
      </c>
      <c r="C98">
        <v>4116223</v>
      </c>
      <c r="Q98" s="1"/>
      <c r="R98" s="1"/>
    </row>
    <row r="99" spans="1:18" x14ac:dyDescent="0.25">
      <c r="A99" s="4" t="s">
        <v>115</v>
      </c>
      <c r="B99" s="7">
        <v>106</v>
      </c>
      <c r="C99">
        <v>5777894</v>
      </c>
      <c r="Q99" s="7"/>
      <c r="R99" s="7"/>
    </row>
    <row r="100" spans="1:18" x14ac:dyDescent="0.25">
      <c r="A100" s="4" t="s">
        <v>116</v>
      </c>
      <c r="B100" s="1">
        <v>471</v>
      </c>
      <c r="C100">
        <v>23402103</v>
      </c>
      <c r="Q100" s="1"/>
      <c r="R100" s="1"/>
    </row>
    <row r="101" spans="1:18" x14ac:dyDescent="0.25">
      <c r="A101" s="4" t="s">
        <v>117</v>
      </c>
      <c r="B101" s="7">
        <v>283</v>
      </c>
      <c r="C101">
        <v>17717841</v>
      </c>
      <c r="Q101" s="7"/>
      <c r="R101" s="7"/>
    </row>
    <row r="102" spans="1:18" x14ac:dyDescent="0.25">
      <c r="A102" s="4" t="s">
        <v>118</v>
      </c>
      <c r="B102" s="1">
        <v>38</v>
      </c>
      <c r="C102">
        <v>6874453</v>
      </c>
      <c r="Q102" s="1"/>
      <c r="R102" s="1"/>
    </row>
    <row r="103" spans="1:18" x14ac:dyDescent="0.25">
      <c r="A103" s="4" t="s">
        <v>119</v>
      </c>
      <c r="B103" s="7">
        <v>62</v>
      </c>
      <c r="C103">
        <v>14133947</v>
      </c>
      <c r="Q103" s="7"/>
      <c r="R103" s="7"/>
    </row>
    <row r="104" spans="1:18" x14ac:dyDescent="0.25">
      <c r="A104" s="4" t="s">
        <v>120</v>
      </c>
      <c r="B104" s="1">
        <v>40</v>
      </c>
      <c r="C104">
        <v>9230320</v>
      </c>
      <c r="Q104" s="1"/>
      <c r="R104" s="1"/>
    </row>
    <row r="105" spans="1:18" x14ac:dyDescent="0.25">
      <c r="A105" s="4" t="s">
        <v>132</v>
      </c>
      <c r="B105" s="1">
        <v>66</v>
      </c>
      <c r="C105">
        <v>4497571</v>
      </c>
      <c r="Q105" s="1"/>
      <c r="R105" s="1"/>
    </row>
    <row r="106" spans="1:18" x14ac:dyDescent="0.25">
      <c r="A106" s="4" t="s">
        <v>133</v>
      </c>
      <c r="B106" s="7">
        <v>34</v>
      </c>
      <c r="C106">
        <v>4482445</v>
      </c>
      <c r="Q106" s="7"/>
      <c r="R106" s="7"/>
    </row>
    <row r="107" spans="1:18" x14ac:dyDescent="0.25">
      <c r="A107" s="4" t="s">
        <v>134</v>
      </c>
      <c r="B107" s="1">
        <v>133</v>
      </c>
      <c r="C107">
        <v>13856275</v>
      </c>
      <c r="Q107" s="1"/>
      <c r="R107" s="1"/>
    </row>
    <row r="108" spans="1:18" x14ac:dyDescent="0.25">
      <c r="A108" s="4" t="s">
        <v>135</v>
      </c>
      <c r="B108" s="7">
        <v>50</v>
      </c>
      <c r="C108">
        <v>7336140</v>
      </c>
      <c r="Q108" s="7"/>
      <c r="R108" s="7"/>
    </row>
    <row r="109" spans="1:18" x14ac:dyDescent="0.25">
      <c r="A109" s="4" t="s">
        <v>136</v>
      </c>
      <c r="B109" s="1">
        <v>24</v>
      </c>
      <c r="C109">
        <v>1763928</v>
      </c>
      <c r="Q109" s="1"/>
      <c r="R109" s="1"/>
    </row>
    <row r="110" spans="1:18" x14ac:dyDescent="0.25">
      <c r="A110" s="4" t="s">
        <v>137</v>
      </c>
      <c r="B110" s="7">
        <v>47</v>
      </c>
      <c r="C110">
        <v>4873995</v>
      </c>
      <c r="Q110" s="7"/>
      <c r="R110" s="7"/>
    </row>
    <row r="111" spans="1:18" x14ac:dyDescent="0.25">
      <c r="A111" s="4" t="s">
        <v>138</v>
      </c>
      <c r="B111" s="1">
        <v>0</v>
      </c>
      <c r="C111">
        <v>3861087</v>
      </c>
      <c r="Q111" s="1"/>
      <c r="R111" s="1"/>
    </row>
    <row r="112" spans="1:18" x14ac:dyDescent="0.25">
      <c r="A112" s="4" t="s">
        <v>77</v>
      </c>
      <c r="B112" s="1">
        <v>91</v>
      </c>
      <c r="C112">
        <v>10672634</v>
      </c>
      <c r="Q112" s="1"/>
      <c r="R112" s="1"/>
    </row>
    <row r="113" spans="1:18" x14ac:dyDescent="0.25">
      <c r="A113" s="4" t="s">
        <v>78</v>
      </c>
      <c r="B113" s="7">
        <v>677</v>
      </c>
      <c r="C113">
        <v>29308853</v>
      </c>
      <c r="Q113" s="7"/>
      <c r="R113" s="7"/>
    </row>
    <row r="114" spans="1:18" x14ac:dyDescent="0.25">
      <c r="A114" s="4" t="s">
        <v>79</v>
      </c>
      <c r="B114" s="1">
        <v>572</v>
      </c>
      <c r="C114">
        <v>36828619</v>
      </c>
      <c r="Q114" s="1"/>
      <c r="R114" s="1"/>
    </row>
    <row r="115" spans="1:18" x14ac:dyDescent="0.25">
      <c r="A115" s="4" t="s">
        <v>80</v>
      </c>
      <c r="B115" s="7">
        <v>181</v>
      </c>
      <c r="C115">
        <v>40622092</v>
      </c>
      <c r="Q115" s="7"/>
      <c r="R115" s="7"/>
    </row>
    <row r="116" spans="1:18" x14ac:dyDescent="0.25">
      <c r="A116" s="4" t="s">
        <v>81</v>
      </c>
      <c r="B116" s="1">
        <v>38</v>
      </c>
      <c r="C116">
        <v>1770344</v>
      </c>
      <c r="Q116" s="1"/>
      <c r="R116" s="1"/>
    </row>
    <row r="117" spans="1:18" x14ac:dyDescent="0.25">
      <c r="A117" s="4" t="s">
        <v>82</v>
      </c>
      <c r="B117" s="7">
        <v>81</v>
      </c>
      <c r="C117">
        <v>3203589</v>
      </c>
      <c r="Q117" s="7"/>
      <c r="R117" s="7"/>
    </row>
    <row r="118" spans="1:18" x14ac:dyDescent="0.25">
      <c r="A118" s="4" t="s">
        <v>83</v>
      </c>
      <c r="B118" s="1">
        <v>26</v>
      </c>
      <c r="C118">
        <v>3118905</v>
      </c>
      <c r="Q118" s="1"/>
      <c r="R118" s="1"/>
    </row>
    <row r="119" spans="1:18" x14ac:dyDescent="0.25">
      <c r="A119" s="4" t="s">
        <v>84</v>
      </c>
      <c r="B119" s="7">
        <v>4</v>
      </c>
      <c r="C119">
        <v>1756895</v>
      </c>
      <c r="Q119" s="7"/>
      <c r="R119" s="7"/>
    </row>
    <row r="120" spans="1:18" x14ac:dyDescent="0.25">
      <c r="A120" s="4" t="s">
        <v>121</v>
      </c>
      <c r="B120" s="1">
        <v>12778</v>
      </c>
      <c r="C120">
        <v>19642</v>
      </c>
      <c r="Q120" s="1"/>
      <c r="R120" s="1"/>
    </row>
    <row r="121" spans="1:18" x14ac:dyDescent="0.25">
      <c r="A121" s="4" t="s">
        <v>122</v>
      </c>
      <c r="B121" s="7">
        <v>16484</v>
      </c>
      <c r="C121">
        <v>27607</v>
      </c>
      <c r="Q121" s="7"/>
      <c r="R121" s="7"/>
    </row>
    <row r="122" spans="1:18" x14ac:dyDescent="0.25">
      <c r="A122" s="4" t="s">
        <v>123</v>
      </c>
      <c r="B122" s="1">
        <v>18648</v>
      </c>
      <c r="C122">
        <v>33857</v>
      </c>
      <c r="Q122" s="1"/>
      <c r="R122" s="1"/>
    </row>
    <row r="123" spans="1:18" x14ac:dyDescent="0.25">
      <c r="A123" s="4" t="s">
        <v>124</v>
      </c>
      <c r="B123" s="7">
        <v>16597</v>
      </c>
      <c r="C123">
        <v>50096</v>
      </c>
      <c r="Q123" s="7"/>
      <c r="R123" s="7"/>
    </row>
    <row r="124" spans="1:18" x14ac:dyDescent="0.25">
      <c r="A124" s="4" t="s">
        <v>125</v>
      </c>
      <c r="B124" s="1">
        <v>29479</v>
      </c>
      <c r="C124">
        <v>66109</v>
      </c>
      <c r="Q124" s="1"/>
      <c r="R124" s="1"/>
    </row>
    <row r="125" spans="1:18" x14ac:dyDescent="0.25">
      <c r="A125" s="4" t="s">
        <v>85</v>
      </c>
      <c r="B125" s="1">
        <v>125</v>
      </c>
      <c r="C125" s="1">
        <v>7754367</v>
      </c>
      <c r="D125" s="1"/>
      <c r="E125" s="1"/>
      <c r="F125" s="1"/>
      <c r="G125" s="1"/>
      <c r="H125" s="1"/>
      <c r="I125" s="1"/>
      <c r="J125" s="1"/>
      <c r="K125" s="1"/>
      <c r="L125" s="1"/>
      <c r="M125" s="1"/>
      <c r="N125" s="1"/>
      <c r="O125" s="1"/>
      <c r="P125" s="1"/>
      <c r="Q125" s="1"/>
      <c r="R125" s="1"/>
    </row>
    <row r="126" spans="1:18" x14ac:dyDescent="0.25">
      <c r="A126" s="4" t="s">
        <v>86</v>
      </c>
      <c r="B126" s="7">
        <v>390</v>
      </c>
      <c r="C126" s="7">
        <v>11234746</v>
      </c>
      <c r="D126" s="7"/>
      <c r="E126" s="7"/>
      <c r="F126" s="7"/>
      <c r="G126" s="7"/>
      <c r="H126" s="7"/>
      <c r="I126" s="7"/>
      <c r="J126" s="7"/>
      <c r="K126" s="7"/>
      <c r="L126" s="7"/>
      <c r="M126" s="7"/>
      <c r="N126" s="7"/>
      <c r="O126" s="7"/>
      <c r="P126" s="7"/>
      <c r="Q126" s="7"/>
      <c r="R126" s="7"/>
    </row>
    <row r="127" spans="1:18" x14ac:dyDescent="0.25">
      <c r="A127" s="4" t="s">
        <v>87</v>
      </c>
      <c r="B127" s="1">
        <v>200</v>
      </c>
      <c r="C127" s="1">
        <v>9839567</v>
      </c>
      <c r="D127" s="1"/>
      <c r="E127" s="1"/>
      <c r="F127" s="1"/>
      <c r="G127" s="1"/>
      <c r="H127" s="1"/>
      <c r="I127" s="1"/>
      <c r="J127" s="1"/>
      <c r="K127" s="1"/>
      <c r="L127" s="1"/>
      <c r="M127" s="1"/>
      <c r="N127" s="1"/>
      <c r="O127" s="1"/>
      <c r="P127" s="1"/>
      <c r="Q127" s="1"/>
      <c r="R127" s="1"/>
    </row>
    <row r="128" spans="1:18" x14ac:dyDescent="0.25">
      <c r="A128" s="4" t="s">
        <v>88</v>
      </c>
      <c r="B128" s="7">
        <v>60</v>
      </c>
      <c r="C128" s="7">
        <v>6848913</v>
      </c>
      <c r="D128" s="7"/>
      <c r="E128" s="7"/>
      <c r="F128" s="7"/>
      <c r="G128" s="7"/>
      <c r="H128" s="7"/>
      <c r="I128" s="7"/>
      <c r="J128" s="7"/>
      <c r="K128" s="7"/>
      <c r="L128" s="7"/>
      <c r="M128" s="7"/>
      <c r="N128" s="7"/>
      <c r="O128" s="7"/>
      <c r="P128" s="7"/>
      <c r="Q128" s="7"/>
      <c r="R128" s="7"/>
    </row>
    <row r="133" spans="1:16" x14ac:dyDescent="0.25">
      <c r="A133" s="2" t="s">
        <v>2</v>
      </c>
      <c r="B133" t="str">
        <f t="shared" ref="B133" si="11">B6</f>
        <v>For Tract 30111000300</v>
      </c>
      <c r="C133" t="str">
        <f t="shared" ref="C133:P133" si="12">C6</f>
        <v>Nation</v>
      </c>
      <c r="D133">
        <f t="shared" si="12"/>
        <v>0</v>
      </c>
      <c r="E133">
        <f t="shared" si="12"/>
        <v>0</v>
      </c>
      <c r="F133">
        <f t="shared" si="12"/>
        <v>0</v>
      </c>
      <c r="G133">
        <f t="shared" si="12"/>
        <v>0</v>
      </c>
      <c r="H133">
        <f t="shared" si="12"/>
        <v>0</v>
      </c>
      <c r="I133">
        <f t="shared" si="12"/>
        <v>0</v>
      </c>
      <c r="J133">
        <f t="shared" si="12"/>
        <v>0</v>
      </c>
      <c r="K133">
        <f t="shared" si="12"/>
        <v>0</v>
      </c>
      <c r="L133">
        <f t="shared" si="12"/>
        <v>0</v>
      </c>
      <c r="M133">
        <f t="shared" si="12"/>
        <v>0</v>
      </c>
      <c r="N133">
        <f t="shared" si="12"/>
        <v>0</v>
      </c>
      <c r="O133">
        <f t="shared" si="12"/>
        <v>0</v>
      </c>
      <c r="P133">
        <f t="shared" si="12"/>
        <v>0</v>
      </c>
    </row>
    <row r="134" spans="1:16" x14ac:dyDescent="0.25">
      <c r="A134" s="68" t="s">
        <v>48</v>
      </c>
    </row>
    <row r="135" spans="1:16" x14ac:dyDescent="0.25">
      <c r="A135" s="57" t="s">
        <v>49</v>
      </c>
      <c r="B135" s="73">
        <f>B75/100</f>
        <v>0</v>
      </c>
      <c r="C135" s="73">
        <f t="shared" ref="C135:P135" si="13">C75/100</f>
        <v>0.24100000000000002</v>
      </c>
      <c r="D135" s="73">
        <f t="shared" si="13"/>
        <v>0</v>
      </c>
      <c r="E135" s="73">
        <f t="shared" si="13"/>
        <v>0</v>
      </c>
      <c r="F135" s="73">
        <f t="shared" si="13"/>
        <v>0</v>
      </c>
      <c r="G135" s="73">
        <f t="shared" si="13"/>
        <v>0</v>
      </c>
      <c r="H135" s="73">
        <f t="shared" si="13"/>
        <v>0</v>
      </c>
      <c r="I135" s="73">
        <f t="shared" si="13"/>
        <v>0</v>
      </c>
      <c r="J135" s="73">
        <f t="shared" si="13"/>
        <v>0</v>
      </c>
      <c r="K135" s="73">
        <f t="shared" si="13"/>
        <v>0</v>
      </c>
      <c r="L135" s="73">
        <f t="shared" si="13"/>
        <v>0</v>
      </c>
      <c r="M135" s="73">
        <f t="shared" si="13"/>
        <v>0</v>
      </c>
      <c r="N135" s="73">
        <f t="shared" si="13"/>
        <v>0</v>
      </c>
      <c r="O135" s="73">
        <f t="shared" si="13"/>
        <v>0</v>
      </c>
      <c r="P135" s="73">
        <f t="shared" si="13"/>
        <v>0</v>
      </c>
    </row>
    <row r="136" spans="1:16" x14ac:dyDescent="0.25">
      <c r="A136" s="57" t="s">
        <v>50</v>
      </c>
      <c r="B136" s="72">
        <f>(B77+B78)/B73</f>
        <v>0.44479495268138802</v>
      </c>
      <c r="C136" s="72">
        <f t="shared" ref="C136:P136" si="14">(C77+C78)/C73</f>
        <v>0.16163260128408047</v>
      </c>
      <c r="D136" s="72" t="e">
        <f t="shared" si="14"/>
        <v>#DIV/0!</v>
      </c>
      <c r="E136" s="72" t="e">
        <f t="shared" si="14"/>
        <v>#DIV/0!</v>
      </c>
      <c r="F136" s="72" t="e">
        <f t="shared" si="14"/>
        <v>#DIV/0!</v>
      </c>
      <c r="G136" s="72" t="e">
        <f t="shared" si="14"/>
        <v>#DIV/0!</v>
      </c>
      <c r="H136" s="72" t="e">
        <f t="shared" si="14"/>
        <v>#DIV/0!</v>
      </c>
      <c r="I136" s="72" t="e">
        <f t="shared" si="14"/>
        <v>#DIV/0!</v>
      </c>
      <c r="J136" s="72" t="e">
        <f t="shared" si="14"/>
        <v>#DIV/0!</v>
      </c>
      <c r="K136" s="72" t="e">
        <f t="shared" si="14"/>
        <v>#DIV/0!</v>
      </c>
      <c r="L136" s="72" t="e">
        <f t="shared" si="14"/>
        <v>#DIV/0!</v>
      </c>
      <c r="M136" s="72" t="e">
        <f t="shared" si="14"/>
        <v>#DIV/0!</v>
      </c>
      <c r="N136" s="72" t="e">
        <f t="shared" si="14"/>
        <v>#DIV/0!</v>
      </c>
      <c r="O136" s="72" t="e">
        <f t="shared" si="14"/>
        <v>#DIV/0!</v>
      </c>
      <c r="P136" s="72" t="e">
        <f t="shared" si="14"/>
        <v>#DIV/0!</v>
      </c>
    </row>
    <row r="137" spans="1:16" x14ac:dyDescent="0.25">
      <c r="A137" s="57" t="s">
        <v>51</v>
      </c>
      <c r="B137" s="73">
        <f>B79/B73</f>
        <v>0.34384858044164041</v>
      </c>
      <c r="C137" s="73">
        <f t="shared" ref="C137:P137" si="15">C79/C73</f>
        <v>0.29590714157214937</v>
      </c>
      <c r="D137" s="73" t="e">
        <f t="shared" si="15"/>
        <v>#DIV/0!</v>
      </c>
      <c r="E137" s="73" t="e">
        <f t="shared" si="15"/>
        <v>#DIV/0!</v>
      </c>
      <c r="F137" s="73" t="e">
        <f t="shared" si="15"/>
        <v>#DIV/0!</v>
      </c>
      <c r="G137" s="73" t="e">
        <f t="shared" si="15"/>
        <v>#DIV/0!</v>
      </c>
      <c r="H137" s="73" t="e">
        <f t="shared" si="15"/>
        <v>#DIV/0!</v>
      </c>
      <c r="I137" s="73" t="e">
        <f t="shared" si="15"/>
        <v>#DIV/0!</v>
      </c>
      <c r="J137" s="73" t="e">
        <f t="shared" si="15"/>
        <v>#DIV/0!</v>
      </c>
      <c r="K137" s="73" t="e">
        <f t="shared" si="15"/>
        <v>#DIV/0!</v>
      </c>
      <c r="L137" s="73" t="e">
        <f t="shared" si="15"/>
        <v>#DIV/0!</v>
      </c>
      <c r="M137" s="73" t="e">
        <f t="shared" si="15"/>
        <v>#DIV/0!</v>
      </c>
      <c r="N137" s="73" t="e">
        <f t="shared" si="15"/>
        <v>#DIV/0!</v>
      </c>
      <c r="O137" s="73" t="e">
        <f t="shared" si="15"/>
        <v>#DIV/0!</v>
      </c>
      <c r="P137" s="73" t="e">
        <f t="shared" si="15"/>
        <v>#DIV/0!</v>
      </c>
    </row>
    <row r="138" spans="1:16" x14ac:dyDescent="0.25">
      <c r="A138" s="57" t="s">
        <v>52</v>
      </c>
      <c r="B138" s="73">
        <f>(B80+B81)/B73</f>
        <v>0.17350157728706625</v>
      </c>
      <c r="C138" s="73">
        <f t="shared" ref="C138:P138" si="16">(C80+C81)/C73</f>
        <v>0.44902702817570156</v>
      </c>
      <c r="D138" s="73" t="e">
        <f t="shared" si="16"/>
        <v>#DIV/0!</v>
      </c>
      <c r="E138" s="73" t="e">
        <f t="shared" si="16"/>
        <v>#DIV/0!</v>
      </c>
      <c r="F138" s="73" t="e">
        <f t="shared" si="16"/>
        <v>#DIV/0!</v>
      </c>
      <c r="G138" s="73" t="e">
        <f t="shared" si="16"/>
        <v>#DIV/0!</v>
      </c>
      <c r="H138" s="73" t="e">
        <f t="shared" si="16"/>
        <v>#DIV/0!</v>
      </c>
      <c r="I138" s="73" t="e">
        <f t="shared" si="16"/>
        <v>#DIV/0!</v>
      </c>
      <c r="J138" s="73" t="e">
        <f t="shared" si="16"/>
        <v>#DIV/0!</v>
      </c>
      <c r="K138" s="73" t="e">
        <f t="shared" si="16"/>
        <v>#DIV/0!</v>
      </c>
      <c r="L138" s="73" t="e">
        <f t="shared" si="16"/>
        <v>#DIV/0!</v>
      </c>
      <c r="M138" s="73" t="e">
        <f t="shared" si="16"/>
        <v>#DIV/0!</v>
      </c>
      <c r="N138" s="73" t="e">
        <f t="shared" si="16"/>
        <v>#DIV/0!</v>
      </c>
      <c r="O138" s="73" t="e">
        <f t="shared" si="16"/>
        <v>#DIV/0!</v>
      </c>
      <c r="P138" s="73" t="e">
        <f t="shared" si="16"/>
        <v>#DIV/0!</v>
      </c>
    </row>
    <row r="139" spans="1:16" x14ac:dyDescent="0.25">
      <c r="A139" s="57" t="s">
        <v>53</v>
      </c>
      <c r="B139" s="73">
        <f>(B82+B83)/B73</f>
        <v>3.7854889589905363E-2</v>
      </c>
      <c r="C139" s="73">
        <f t="shared" ref="C139:P139" si="17">(C82+C83)/C73</f>
        <v>9.3433228968068646E-2</v>
      </c>
      <c r="D139" s="73" t="e">
        <f t="shared" si="17"/>
        <v>#DIV/0!</v>
      </c>
      <c r="E139" s="73" t="e">
        <f t="shared" si="17"/>
        <v>#DIV/0!</v>
      </c>
      <c r="F139" s="73" t="e">
        <f t="shared" si="17"/>
        <v>#DIV/0!</v>
      </c>
      <c r="G139" s="73" t="e">
        <f t="shared" si="17"/>
        <v>#DIV/0!</v>
      </c>
      <c r="H139" s="73" t="e">
        <f t="shared" si="17"/>
        <v>#DIV/0!</v>
      </c>
      <c r="I139" s="73" t="e">
        <f t="shared" si="17"/>
        <v>#DIV/0!</v>
      </c>
      <c r="J139" s="73" t="e">
        <f t="shared" si="17"/>
        <v>#DIV/0!</v>
      </c>
      <c r="K139" s="73" t="e">
        <f t="shared" si="17"/>
        <v>#DIV/0!</v>
      </c>
      <c r="L139" s="73" t="e">
        <f t="shared" si="17"/>
        <v>#DIV/0!</v>
      </c>
      <c r="M139" s="73" t="e">
        <f t="shared" si="17"/>
        <v>#DIV/0!</v>
      </c>
      <c r="N139" s="73" t="e">
        <f t="shared" si="17"/>
        <v>#DIV/0!</v>
      </c>
      <c r="O139" s="73" t="e">
        <f t="shared" si="17"/>
        <v>#DIV/0!</v>
      </c>
      <c r="P139" s="73" t="e">
        <f t="shared" si="17"/>
        <v>#DIV/0!</v>
      </c>
    </row>
    <row r="140" spans="1:16" x14ac:dyDescent="0.25">
      <c r="A140" s="68" t="s">
        <v>54</v>
      </c>
      <c r="B140" s="73"/>
      <c r="C140" s="73"/>
      <c r="D140" s="73"/>
      <c r="E140" s="73"/>
      <c r="F140" s="73"/>
      <c r="G140" s="73"/>
      <c r="H140" s="73"/>
      <c r="I140" s="73"/>
      <c r="J140" s="73"/>
      <c r="K140" s="73"/>
      <c r="L140" s="73"/>
      <c r="M140" s="73"/>
      <c r="N140" s="73"/>
      <c r="O140" s="73"/>
      <c r="P140" s="73"/>
    </row>
    <row r="141" spans="1:16" x14ac:dyDescent="0.25">
      <c r="A141" s="57" t="s">
        <v>55</v>
      </c>
      <c r="B141" s="73">
        <f>B76/100</f>
        <v>6.0499999999999998E-2</v>
      </c>
      <c r="C141" s="73">
        <f t="shared" ref="C141:P141" si="18">C76/100</f>
        <v>6.0199999999999997E-2</v>
      </c>
      <c r="D141" s="73">
        <f t="shared" si="18"/>
        <v>0</v>
      </c>
      <c r="E141" s="73">
        <f t="shared" si="18"/>
        <v>0</v>
      </c>
      <c r="F141" s="73">
        <f t="shared" si="18"/>
        <v>0</v>
      </c>
      <c r="G141" s="73">
        <f t="shared" si="18"/>
        <v>0</v>
      </c>
      <c r="H141" s="73">
        <f t="shared" si="18"/>
        <v>0</v>
      </c>
      <c r="I141" s="73">
        <f t="shared" si="18"/>
        <v>0</v>
      </c>
      <c r="J141" s="73">
        <f t="shared" si="18"/>
        <v>0</v>
      </c>
      <c r="K141" s="73">
        <f t="shared" si="18"/>
        <v>0</v>
      </c>
      <c r="L141" s="73">
        <f t="shared" si="18"/>
        <v>0</v>
      </c>
      <c r="M141" s="73">
        <f t="shared" si="18"/>
        <v>0</v>
      </c>
      <c r="N141" s="73">
        <f t="shared" si="18"/>
        <v>0</v>
      </c>
      <c r="O141" s="73">
        <f t="shared" si="18"/>
        <v>0</v>
      </c>
      <c r="P141" s="73">
        <f t="shared" si="18"/>
        <v>0</v>
      </c>
    </row>
    <row r="142" spans="1:16" x14ac:dyDescent="0.25">
      <c r="A142" s="57" t="s">
        <v>50</v>
      </c>
      <c r="B142" s="73">
        <f>(B84+B85+B91+B92+B98+B99)/B74</f>
        <v>0.10321007720438846</v>
      </c>
      <c r="C142" s="73">
        <f t="shared" ref="C142:P142" si="19">(C84+C85+C91+C92+C98+C99)/C74</f>
        <v>0.12342196151230674</v>
      </c>
      <c r="D142" s="73" t="e">
        <f t="shared" si="19"/>
        <v>#DIV/0!</v>
      </c>
      <c r="E142" s="73" t="e">
        <f t="shared" si="19"/>
        <v>#DIV/0!</v>
      </c>
      <c r="F142" s="73" t="e">
        <f t="shared" si="19"/>
        <v>#DIV/0!</v>
      </c>
      <c r="G142" s="73" t="e">
        <f t="shared" si="19"/>
        <v>#DIV/0!</v>
      </c>
      <c r="H142" s="73" t="e">
        <f t="shared" si="19"/>
        <v>#DIV/0!</v>
      </c>
      <c r="I142" s="73" t="e">
        <f t="shared" si="19"/>
        <v>#DIV/0!</v>
      </c>
      <c r="J142" s="73" t="e">
        <f t="shared" si="19"/>
        <v>#DIV/0!</v>
      </c>
      <c r="K142" s="73" t="e">
        <f t="shared" si="19"/>
        <v>#DIV/0!</v>
      </c>
      <c r="L142" s="73" t="e">
        <f t="shared" si="19"/>
        <v>#DIV/0!</v>
      </c>
      <c r="M142" s="73" t="e">
        <f t="shared" si="19"/>
        <v>#DIV/0!</v>
      </c>
      <c r="N142" s="73" t="e">
        <f t="shared" si="19"/>
        <v>#DIV/0!</v>
      </c>
      <c r="O142" s="73" t="e">
        <f t="shared" si="19"/>
        <v>#DIV/0!</v>
      </c>
      <c r="P142" s="73" t="e">
        <f t="shared" si="19"/>
        <v>#DIV/0!</v>
      </c>
    </row>
    <row r="143" spans="1:16" x14ac:dyDescent="0.25">
      <c r="A143" s="57" t="s">
        <v>51</v>
      </c>
      <c r="B143" s="73">
        <f>(B86+B93+B100)/B74</f>
        <v>0.46647704185290534</v>
      </c>
      <c r="C143" s="73">
        <f t="shared" ref="C143:P143" si="20">(C86+C93+C100)/C74</f>
        <v>0.26792955489647313</v>
      </c>
      <c r="D143" s="73" t="e">
        <f t="shared" si="20"/>
        <v>#DIV/0!</v>
      </c>
      <c r="E143" s="73" t="e">
        <f t="shared" si="20"/>
        <v>#DIV/0!</v>
      </c>
      <c r="F143" s="73" t="e">
        <f t="shared" si="20"/>
        <v>#DIV/0!</v>
      </c>
      <c r="G143" s="73" t="e">
        <f t="shared" si="20"/>
        <v>#DIV/0!</v>
      </c>
      <c r="H143" s="73" t="e">
        <f t="shared" si="20"/>
        <v>#DIV/0!</v>
      </c>
      <c r="I143" s="73" t="e">
        <f t="shared" si="20"/>
        <v>#DIV/0!</v>
      </c>
      <c r="J143" s="73" t="e">
        <f t="shared" si="20"/>
        <v>#DIV/0!</v>
      </c>
      <c r="K143" s="73" t="e">
        <f t="shared" si="20"/>
        <v>#DIV/0!</v>
      </c>
      <c r="L143" s="73" t="e">
        <f t="shared" si="20"/>
        <v>#DIV/0!</v>
      </c>
      <c r="M143" s="73" t="e">
        <f t="shared" si="20"/>
        <v>#DIV/0!</v>
      </c>
      <c r="N143" s="73" t="e">
        <f t="shared" si="20"/>
        <v>#DIV/0!</v>
      </c>
      <c r="O143" s="73" t="e">
        <f t="shared" si="20"/>
        <v>#DIV/0!</v>
      </c>
      <c r="P143" s="73" t="e">
        <f t="shared" si="20"/>
        <v>#DIV/0!</v>
      </c>
    </row>
    <row r="144" spans="1:16" x14ac:dyDescent="0.25">
      <c r="A144" s="57" t="s">
        <v>52</v>
      </c>
      <c r="B144" s="73">
        <f>(B87+B88+B94+B95+B101+B102)/B74</f>
        <v>0.33075985371800082</v>
      </c>
      <c r="C144" s="73">
        <f t="shared" ref="C144:P144" si="21">(C87+C88+C94+C95+C101+C102)/C74</f>
        <v>0.30638429662384609</v>
      </c>
      <c r="D144" s="73" t="e">
        <f t="shared" si="21"/>
        <v>#DIV/0!</v>
      </c>
      <c r="E144" s="73" t="e">
        <f t="shared" si="21"/>
        <v>#DIV/0!</v>
      </c>
      <c r="F144" s="73" t="e">
        <f t="shared" si="21"/>
        <v>#DIV/0!</v>
      </c>
      <c r="G144" s="73" t="e">
        <f t="shared" si="21"/>
        <v>#DIV/0!</v>
      </c>
      <c r="H144" s="73" t="e">
        <f t="shared" si="21"/>
        <v>#DIV/0!</v>
      </c>
      <c r="I144" s="73" t="e">
        <f t="shared" si="21"/>
        <v>#DIV/0!</v>
      </c>
      <c r="J144" s="73" t="e">
        <f t="shared" si="21"/>
        <v>#DIV/0!</v>
      </c>
      <c r="K144" s="73" t="e">
        <f t="shared" si="21"/>
        <v>#DIV/0!</v>
      </c>
      <c r="L144" s="73" t="e">
        <f t="shared" si="21"/>
        <v>#DIV/0!</v>
      </c>
      <c r="M144" s="73" t="e">
        <f t="shared" si="21"/>
        <v>#DIV/0!</v>
      </c>
      <c r="N144" s="73" t="e">
        <f t="shared" si="21"/>
        <v>#DIV/0!</v>
      </c>
      <c r="O144" s="73" t="e">
        <f t="shared" si="21"/>
        <v>#DIV/0!</v>
      </c>
      <c r="P144" s="73" t="e">
        <f t="shared" si="21"/>
        <v>#DIV/0!</v>
      </c>
    </row>
    <row r="145" spans="1:16" x14ac:dyDescent="0.25">
      <c r="A145" s="57" t="s">
        <v>53</v>
      </c>
      <c r="B145" s="73">
        <f>(B89+B90+B96+B97+B103+B104)/B74</f>
        <v>9.9553027224705409E-2</v>
      </c>
      <c r="C145" s="73">
        <f t="shared" ref="C145:P145" si="22">(C89+C90+C96+C97+C103+C104)/C74</f>
        <v>0.30226418696737406</v>
      </c>
      <c r="D145" s="73" t="e">
        <f t="shared" si="22"/>
        <v>#DIV/0!</v>
      </c>
      <c r="E145" s="73" t="e">
        <f t="shared" si="22"/>
        <v>#DIV/0!</v>
      </c>
      <c r="F145" s="73" t="e">
        <f t="shared" si="22"/>
        <v>#DIV/0!</v>
      </c>
      <c r="G145" s="73" t="e">
        <f t="shared" si="22"/>
        <v>#DIV/0!</v>
      </c>
      <c r="H145" s="73" t="e">
        <f t="shared" si="22"/>
        <v>#DIV/0!</v>
      </c>
      <c r="I145" s="73" t="e">
        <f t="shared" si="22"/>
        <v>#DIV/0!</v>
      </c>
      <c r="J145" s="73" t="e">
        <f t="shared" si="22"/>
        <v>#DIV/0!</v>
      </c>
      <c r="K145" s="73" t="e">
        <f t="shared" si="22"/>
        <v>#DIV/0!</v>
      </c>
      <c r="L145" s="73" t="e">
        <f t="shared" si="22"/>
        <v>#DIV/0!</v>
      </c>
      <c r="M145" s="73" t="e">
        <f t="shared" si="22"/>
        <v>#DIV/0!</v>
      </c>
      <c r="N145" s="73" t="e">
        <f t="shared" si="22"/>
        <v>#DIV/0!</v>
      </c>
      <c r="O145" s="73" t="e">
        <f t="shared" si="22"/>
        <v>#DIV/0!</v>
      </c>
      <c r="P145" s="73" t="e">
        <f t="shared" si="22"/>
        <v>#DIV/0!</v>
      </c>
    </row>
    <row r="146" spans="1:16" x14ac:dyDescent="0.25">
      <c r="A146" s="26"/>
    </row>
    <row r="147" spans="1:16" x14ac:dyDescent="0.25">
      <c r="A147" s="55" t="s">
        <v>64</v>
      </c>
    </row>
    <row r="148" spans="1:16" x14ac:dyDescent="0.25">
      <c r="A148" s="68" t="s">
        <v>57</v>
      </c>
    </row>
    <row r="149" spans="1:16" x14ac:dyDescent="0.25">
      <c r="A149" s="57" t="s">
        <v>58</v>
      </c>
      <c r="B149" s="73">
        <f>(B112+B116)/(B112+B116+B125)</f>
        <v>0.50787401574803148</v>
      </c>
      <c r="C149" s="73">
        <f t="shared" ref="C149:P149" si="23">(C112+C116)/(C112+C116+C125)</f>
        <v>0.61606998345574626</v>
      </c>
      <c r="D149" s="73" t="e">
        <f t="shared" si="23"/>
        <v>#DIV/0!</v>
      </c>
      <c r="E149" s="73" t="e">
        <f t="shared" si="23"/>
        <v>#DIV/0!</v>
      </c>
      <c r="F149" s="73" t="e">
        <f t="shared" si="23"/>
        <v>#DIV/0!</v>
      </c>
      <c r="G149" s="73" t="e">
        <f t="shared" si="23"/>
        <v>#DIV/0!</v>
      </c>
      <c r="H149" s="73" t="e">
        <f t="shared" si="23"/>
        <v>#DIV/0!</v>
      </c>
      <c r="I149" s="73" t="e">
        <f t="shared" si="23"/>
        <v>#DIV/0!</v>
      </c>
      <c r="J149" s="73" t="e">
        <f t="shared" si="23"/>
        <v>#DIV/0!</v>
      </c>
      <c r="K149" s="73" t="e">
        <f t="shared" si="23"/>
        <v>#DIV/0!</v>
      </c>
      <c r="L149" s="73" t="e">
        <f t="shared" si="23"/>
        <v>#DIV/0!</v>
      </c>
      <c r="M149" s="73" t="e">
        <f t="shared" si="23"/>
        <v>#DIV/0!</v>
      </c>
      <c r="N149" s="73" t="e">
        <f t="shared" si="23"/>
        <v>#DIV/0!</v>
      </c>
      <c r="O149" s="73" t="e">
        <f t="shared" si="23"/>
        <v>#DIV/0!</v>
      </c>
      <c r="P149" s="73" t="e">
        <f t="shared" si="23"/>
        <v>#DIV/0!</v>
      </c>
    </row>
    <row r="150" spans="1:16" x14ac:dyDescent="0.25">
      <c r="A150" s="57" t="s">
        <v>59</v>
      </c>
      <c r="B150" s="73">
        <f>B116/(B112+B116)</f>
        <v>0.29457364341085274</v>
      </c>
      <c r="C150" s="73">
        <f t="shared" ref="C150:P150" si="24">C116/(C112+C116)</f>
        <v>0.14227655148148619</v>
      </c>
      <c r="D150" s="73" t="e">
        <f t="shared" si="24"/>
        <v>#DIV/0!</v>
      </c>
      <c r="E150" s="73" t="e">
        <f t="shared" si="24"/>
        <v>#DIV/0!</v>
      </c>
      <c r="F150" s="73" t="e">
        <f t="shared" si="24"/>
        <v>#DIV/0!</v>
      </c>
      <c r="G150" s="73" t="e">
        <f t="shared" si="24"/>
        <v>#DIV/0!</v>
      </c>
      <c r="H150" s="73" t="e">
        <f t="shared" si="24"/>
        <v>#DIV/0!</v>
      </c>
      <c r="I150" s="73" t="e">
        <f t="shared" si="24"/>
        <v>#DIV/0!</v>
      </c>
      <c r="J150" s="73" t="e">
        <f t="shared" si="24"/>
        <v>#DIV/0!</v>
      </c>
      <c r="K150" s="73" t="e">
        <f t="shared" si="24"/>
        <v>#DIV/0!</v>
      </c>
      <c r="L150" s="73" t="e">
        <f t="shared" si="24"/>
        <v>#DIV/0!</v>
      </c>
      <c r="M150" s="73" t="e">
        <f t="shared" si="24"/>
        <v>#DIV/0!</v>
      </c>
      <c r="N150" s="73" t="e">
        <f t="shared" si="24"/>
        <v>#DIV/0!</v>
      </c>
      <c r="O150" s="73" t="e">
        <f t="shared" si="24"/>
        <v>#DIV/0!</v>
      </c>
      <c r="P150" s="73" t="e">
        <f t="shared" si="24"/>
        <v>#DIV/0!</v>
      </c>
    </row>
    <row r="151" spans="1:16" x14ac:dyDescent="0.25">
      <c r="A151" s="57" t="s">
        <v>60</v>
      </c>
      <c r="B151" s="16">
        <f>B120/(HLOOKUP("NATION",$B$54:$P$124,67,FALSE))</f>
        <v>0.65054475104368192</v>
      </c>
      <c r="C151" s="16">
        <f t="shared" ref="C151:P151" si="25">C120/(HLOOKUP("NATION",$B$54:$P$124,67,FALSE))</f>
        <v>1</v>
      </c>
      <c r="D151" s="16">
        <f t="shared" si="25"/>
        <v>0</v>
      </c>
      <c r="E151" s="16">
        <f t="shared" si="25"/>
        <v>0</v>
      </c>
      <c r="F151" s="16">
        <f t="shared" si="25"/>
        <v>0</v>
      </c>
      <c r="G151" s="16">
        <f t="shared" si="25"/>
        <v>0</v>
      </c>
      <c r="H151" s="16">
        <f t="shared" si="25"/>
        <v>0</v>
      </c>
      <c r="I151" s="16">
        <f t="shared" si="25"/>
        <v>0</v>
      </c>
      <c r="J151" s="16">
        <f t="shared" si="25"/>
        <v>0</v>
      </c>
      <c r="K151" s="16">
        <f t="shared" si="25"/>
        <v>0</v>
      </c>
      <c r="L151" s="16">
        <f t="shared" si="25"/>
        <v>0</v>
      </c>
      <c r="M151" s="16">
        <f t="shared" si="25"/>
        <v>0</v>
      </c>
      <c r="N151" s="16">
        <f t="shared" si="25"/>
        <v>0</v>
      </c>
      <c r="O151" s="16">
        <f t="shared" si="25"/>
        <v>0</v>
      </c>
      <c r="P151" s="16">
        <f t="shared" si="25"/>
        <v>0</v>
      </c>
    </row>
    <row r="152" spans="1:16" ht="30" x14ac:dyDescent="0.25">
      <c r="A152" s="68" t="s">
        <v>61</v>
      </c>
    </row>
    <row r="153" spans="1:16" x14ac:dyDescent="0.25">
      <c r="A153" s="57" t="s">
        <v>58</v>
      </c>
      <c r="B153" s="73">
        <f>(B113+B117)/(B113+B117+B126)</f>
        <v>0.66027874564459932</v>
      </c>
      <c r="C153" s="73">
        <f t="shared" ref="C153:P153" si="26">(C113+C117)/(C113+C117+C126)</f>
        <v>0.74318929938994027</v>
      </c>
      <c r="D153" s="73" t="e">
        <f t="shared" si="26"/>
        <v>#DIV/0!</v>
      </c>
      <c r="E153" s="73" t="e">
        <f t="shared" si="26"/>
        <v>#DIV/0!</v>
      </c>
      <c r="F153" s="73" t="e">
        <f t="shared" si="26"/>
        <v>#DIV/0!</v>
      </c>
      <c r="G153" s="73" t="e">
        <f t="shared" si="26"/>
        <v>#DIV/0!</v>
      </c>
      <c r="H153" s="73" t="e">
        <f t="shared" si="26"/>
        <v>#DIV/0!</v>
      </c>
      <c r="I153" s="73" t="e">
        <f t="shared" si="26"/>
        <v>#DIV/0!</v>
      </c>
      <c r="J153" s="73" t="e">
        <f t="shared" si="26"/>
        <v>#DIV/0!</v>
      </c>
      <c r="K153" s="73" t="e">
        <f t="shared" si="26"/>
        <v>#DIV/0!</v>
      </c>
      <c r="L153" s="73" t="e">
        <f t="shared" si="26"/>
        <v>#DIV/0!</v>
      </c>
      <c r="M153" s="73" t="e">
        <f t="shared" si="26"/>
        <v>#DIV/0!</v>
      </c>
      <c r="N153" s="73" t="e">
        <f t="shared" si="26"/>
        <v>#DIV/0!</v>
      </c>
      <c r="O153" s="73" t="e">
        <f t="shared" si="26"/>
        <v>#DIV/0!</v>
      </c>
      <c r="P153" s="73" t="e">
        <f t="shared" si="26"/>
        <v>#DIV/0!</v>
      </c>
    </row>
    <row r="154" spans="1:16" x14ac:dyDescent="0.25">
      <c r="A154" s="57" t="s">
        <v>59</v>
      </c>
      <c r="B154" s="73">
        <f>B117/(B113+B117)</f>
        <v>0.10686015831134564</v>
      </c>
      <c r="C154" s="73">
        <f t="shared" ref="C154:P154" si="27">C117/(C113+C117)</f>
        <v>9.853424728908397E-2</v>
      </c>
      <c r="D154" s="73" t="e">
        <f t="shared" si="27"/>
        <v>#DIV/0!</v>
      </c>
      <c r="E154" s="73" t="e">
        <f t="shared" si="27"/>
        <v>#DIV/0!</v>
      </c>
      <c r="F154" s="73" t="e">
        <f t="shared" si="27"/>
        <v>#DIV/0!</v>
      </c>
      <c r="G154" s="73" t="e">
        <f t="shared" si="27"/>
        <v>#DIV/0!</v>
      </c>
      <c r="H154" s="73" t="e">
        <f t="shared" si="27"/>
        <v>#DIV/0!</v>
      </c>
      <c r="I154" s="73" t="e">
        <f t="shared" si="27"/>
        <v>#DIV/0!</v>
      </c>
      <c r="J154" s="73" t="e">
        <f t="shared" si="27"/>
        <v>#DIV/0!</v>
      </c>
      <c r="K154" s="73" t="e">
        <f t="shared" si="27"/>
        <v>#DIV/0!</v>
      </c>
      <c r="L154" s="73" t="e">
        <f t="shared" si="27"/>
        <v>#DIV/0!</v>
      </c>
      <c r="M154" s="73" t="e">
        <f t="shared" si="27"/>
        <v>#DIV/0!</v>
      </c>
      <c r="N154" s="73" t="e">
        <f t="shared" si="27"/>
        <v>#DIV/0!</v>
      </c>
      <c r="O154" s="73" t="e">
        <f t="shared" si="27"/>
        <v>#DIV/0!</v>
      </c>
      <c r="P154" s="73" t="e">
        <f t="shared" si="27"/>
        <v>#DIV/0!</v>
      </c>
    </row>
    <row r="155" spans="1:16" x14ac:dyDescent="0.25">
      <c r="A155" s="57" t="s">
        <v>60</v>
      </c>
      <c r="B155" s="16">
        <f>B121/(HLOOKUP("NATION",$B$54:$P$124,68,FALSE))</f>
        <v>0.59709493968920924</v>
      </c>
      <c r="C155" s="16">
        <f t="shared" ref="C155:P155" si="28">C121/(HLOOKUP("NATION",$B$54:$P$124,68,FALSE))</f>
        <v>1</v>
      </c>
      <c r="D155" s="16">
        <f t="shared" si="28"/>
        <v>0</v>
      </c>
      <c r="E155" s="16">
        <f t="shared" si="28"/>
        <v>0</v>
      </c>
      <c r="F155" s="16">
        <f t="shared" si="28"/>
        <v>0</v>
      </c>
      <c r="G155" s="16">
        <f t="shared" si="28"/>
        <v>0</v>
      </c>
      <c r="H155" s="16">
        <f t="shared" si="28"/>
        <v>0</v>
      </c>
      <c r="I155" s="16">
        <f t="shared" si="28"/>
        <v>0</v>
      </c>
      <c r="J155" s="16">
        <f t="shared" si="28"/>
        <v>0</v>
      </c>
      <c r="K155" s="16">
        <f t="shared" si="28"/>
        <v>0</v>
      </c>
      <c r="L155" s="16">
        <f t="shared" si="28"/>
        <v>0</v>
      </c>
      <c r="M155" s="16">
        <f t="shared" si="28"/>
        <v>0</v>
      </c>
      <c r="N155" s="16">
        <f t="shared" si="28"/>
        <v>0</v>
      </c>
      <c r="O155" s="16">
        <f t="shared" si="28"/>
        <v>0</v>
      </c>
      <c r="P155" s="16">
        <f t="shared" si="28"/>
        <v>0</v>
      </c>
    </row>
    <row r="156" spans="1:16" x14ac:dyDescent="0.25">
      <c r="A156" s="68" t="s">
        <v>62</v>
      </c>
    </row>
    <row r="157" spans="1:16" x14ac:dyDescent="0.25">
      <c r="A157" s="57" t="s">
        <v>58</v>
      </c>
      <c r="B157" s="73">
        <f>(B114+B118)/(B114+B118+B127)</f>
        <v>0.74937343358395991</v>
      </c>
      <c r="C157" s="73">
        <f t="shared" ref="C157:P157" si="29">(C114+C118)/(C114+C118+C127)</f>
        <v>0.80236710355300733</v>
      </c>
      <c r="D157" s="73" t="e">
        <f t="shared" si="29"/>
        <v>#DIV/0!</v>
      </c>
      <c r="E157" s="73" t="e">
        <f t="shared" si="29"/>
        <v>#DIV/0!</v>
      </c>
      <c r="F157" s="73" t="e">
        <f t="shared" si="29"/>
        <v>#DIV/0!</v>
      </c>
      <c r="G157" s="73" t="e">
        <f t="shared" si="29"/>
        <v>#DIV/0!</v>
      </c>
      <c r="H157" s="73" t="e">
        <f t="shared" si="29"/>
        <v>#DIV/0!</v>
      </c>
      <c r="I157" s="73" t="e">
        <f t="shared" si="29"/>
        <v>#DIV/0!</v>
      </c>
      <c r="J157" s="73" t="e">
        <f t="shared" si="29"/>
        <v>#DIV/0!</v>
      </c>
      <c r="K157" s="73" t="e">
        <f t="shared" si="29"/>
        <v>#DIV/0!</v>
      </c>
      <c r="L157" s="73" t="e">
        <f t="shared" si="29"/>
        <v>#DIV/0!</v>
      </c>
      <c r="M157" s="73" t="e">
        <f t="shared" si="29"/>
        <v>#DIV/0!</v>
      </c>
      <c r="N157" s="73" t="e">
        <f t="shared" si="29"/>
        <v>#DIV/0!</v>
      </c>
      <c r="O157" s="73" t="e">
        <f t="shared" si="29"/>
        <v>#DIV/0!</v>
      </c>
      <c r="P157" s="73" t="e">
        <f t="shared" si="29"/>
        <v>#DIV/0!</v>
      </c>
    </row>
    <row r="158" spans="1:16" x14ac:dyDescent="0.25">
      <c r="A158" s="57" t="s">
        <v>59</v>
      </c>
      <c r="B158" s="73">
        <f>B118/(B114+B118)</f>
        <v>4.3478260869565216E-2</v>
      </c>
      <c r="C158" s="73">
        <f t="shared" ref="C158:P158" si="30">C118/(C114+C118)</f>
        <v>7.8075051660273107E-2</v>
      </c>
      <c r="D158" s="73" t="e">
        <f t="shared" si="30"/>
        <v>#DIV/0!</v>
      </c>
      <c r="E158" s="73" t="e">
        <f t="shared" si="30"/>
        <v>#DIV/0!</v>
      </c>
      <c r="F158" s="73" t="e">
        <f t="shared" si="30"/>
        <v>#DIV/0!</v>
      </c>
      <c r="G158" s="73" t="e">
        <f t="shared" si="30"/>
        <v>#DIV/0!</v>
      </c>
      <c r="H158" s="73" t="e">
        <f t="shared" si="30"/>
        <v>#DIV/0!</v>
      </c>
      <c r="I158" s="73" t="e">
        <f t="shared" si="30"/>
        <v>#DIV/0!</v>
      </c>
      <c r="J158" s="73" t="e">
        <f t="shared" si="30"/>
        <v>#DIV/0!</v>
      </c>
      <c r="K158" s="73" t="e">
        <f t="shared" si="30"/>
        <v>#DIV/0!</v>
      </c>
      <c r="L158" s="73" t="e">
        <f t="shared" si="30"/>
        <v>#DIV/0!</v>
      </c>
      <c r="M158" s="73" t="e">
        <f t="shared" si="30"/>
        <v>#DIV/0!</v>
      </c>
      <c r="N158" s="73" t="e">
        <f t="shared" si="30"/>
        <v>#DIV/0!</v>
      </c>
      <c r="O158" s="73" t="e">
        <f t="shared" si="30"/>
        <v>#DIV/0!</v>
      </c>
      <c r="P158" s="73" t="e">
        <f t="shared" si="30"/>
        <v>#DIV/0!</v>
      </c>
    </row>
    <row r="159" spans="1:16" x14ac:dyDescent="0.25">
      <c r="A159" s="57" t="s">
        <v>60</v>
      </c>
      <c r="B159" s="16">
        <f>B122/(HLOOKUP("NATION",$B$54:$P$124,69,FALSE))</f>
        <v>0.55078713412292879</v>
      </c>
      <c r="C159" s="16">
        <f t="shared" ref="C159:P159" si="31">C122/(HLOOKUP("NATION",$B$54:$P$124,69,FALSE))</f>
        <v>1</v>
      </c>
      <c r="D159" s="16">
        <f t="shared" si="31"/>
        <v>0</v>
      </c>
      <c r="E159" s="16">
        <f t="shared" si="31"/>
        <v>0</v>
      </c>
      <c r="F159" s="16">
        <f t="shared" si="31"/>
        <v>0</v>
      </c>
      <c r="G159" s="16">
        <f t="shared" si="31"/>
        <v>0</v>
      </c>
      <c r="H159" s="16">
        <f t="shared" si="31"/>
        <v>0</v>
      </c>
      <c r="I159" s="16">
        <f t="shared" si="31"/>
        <v>0</v>
      </c>
      <c r="J159" s="16">
        <f t="shared" si="31"/>
        <v>0</v>
      </c>
      <c r="K159" s="16">
        <f t="shared" si="31"/>
        <v>0</v>
      </c>
      <c r="L159" s="16">
        <f t="shared" si="31"/>
        <v>0</v>
      </c>
      <c r="M159" s="16">
        <f t="shared" si="31"/>
        <v>0</v>
      </c>
      <c r="N159" s="16">
        <f t="shared" si="31"/>
        <v>0</v>
      </c>
      <c r="O159" s="16">
        <f t="shared" si="31"/>
        <v>0</v>
      </c>
      <c r="P159" s="16">
        <f t="shared" si="31"/>
        <v>0</v>
      </c>
    </row>
    <row r="160" spans="1:16" x14ac:dyDescent="0.25">
      <c r="A160" s="68" t="s">
        <v>63</v>
      </c>
    </row>
    <row r="161" spans="1:16" x14ac:dyDescent="0.25">
      <c r="A161" s="57" t="s">
        <v>58</v>
      </c>
      <c r="B161" s="73">
        <f>(B115+B119)/(B115+B119+B128)</f>
        <v>0.75510204081632648</v>
      </c>
      <c r="C161" s="73">
        <f t="shared" ref="C161:P161" si="32">(C115+C119)/(C115+C119+C128)</f>
        <v>0.8608733462122089</v>
      </c>
      <c r="D161" s="73" t="e">
        <f t="shared" si="32"/>
        <v>#DIV/0!</v>
      </c>
      <c r="E161" s="73" t="e">
        <f t="shared" si="32"/>
        <v>#DIV/0!</v>
      </c>
      <c r="F161" s="73" t="e">
        <f t="shared" si="32"/>
        <v>#DIV/0!</v>
      </c>
      <c r="G161" s="73" t="e">
        <f t="shared" si="32"/>
        <v>#DIV/0!</v>
      </c>
      <c r="H161" s="73" t="e">
        <f t="shared" si="32"/>
        <v>#DIV/0!</v>
      </c>
      <c r="I161" s="73" t="e">
        <f t="shared" si="32"/>
        <v>#DIV/0!</v>
      </c>
      <c r="J161" s="73" t="e">
        <f t="shared" si="32"/>
        <v>#DIV/0!</v>
      </c>
      <c r="K161" s="73" t="e">
        <f t="shared" si="32"/>
        <v>#DIV/0!</v>
      </c>
      <c r="L161" s="73" t="e">
        <f t="shared" si="32"/>
        <v>#DIV/0!</v>
      </c>
      <c r="M161" s="73" t="e">
        <f t="shared" si="32"/>
        <v>#DIV/0!</v>
      </c>
      <c r="N161" s="73" t="e">
        <f t="shared" si="32"/>
        <v>#DIV/0!</v>
      </c>
      <c r="O161" s="73" t="e">
        <f t="shared" si="32"/>
        <v>#DIV/0!</v>
      </c>
      <c r="P161" s="73" t="e">
        <f t="shared" si="32"/>
        <v>#DIV/0!</v>
      </c>
    </row>
    <row r="162" spans="1:16" x14ac:dyDescent="0.25">
      <c r="A162" s="57" t="s">
        <v>59</v>
      </c>
      <c r="B162" s="73">
        <f>B119/(B115+B119)</f>
        <v>2.1621621621621623E-2</v>
      </c>
      <c r="C162" s="73">
        <f t="shared" ref="C162:P162" si="33">C119/(C115+C119)</f>
        <v>4.145674836446657E-2</v>
      </c>
      <c r="D162" s="73" t="e">
        <f t="shared" si="33"/>
        <v>#DIV/0!</v>
      </c>
      <c r="E162" s="73" t="e">
        <f t="shared" si="33"/>
        <v>#DIV/0!</v>
      </c>
      <c r="F162" s="73" t="e">
        <f t="shared" si="33"/>
        <v>#DIV/0!</v>
      </c>
      <c r="G162" s="73" t="e">
        <f t="shared" si="33"/>
        <v>#DIV/0!</v>
      </c>
      <c r="H162" s="73" t="e">
        <f t="shared" si="33"/>
        <v>#DIV/0!</v>
      </c>
      <c r="I162" s="73" t="e">
        <f t="shared" si="33"/>
        <v>#DIV/0!</v>
      </c>
      <c r="J162" s="73" t="e">
        <f t="shared" si="33"/>
        <v>#DIV/0!</v>
      </c>
      <c r="K162" s="73" t="e">
        <f t="shared" si="33"/>
        <v>#DIV/0!</v>
      </c>
      <c r="L162" s="73" t="e">
        <f t="shared" si="33"/>
        <v>#DIV/0!</v>
      </c>
      <c r="M162" s="73" t="e">
        <f t="shared" si="33"/>
        <v>#DIV/0!</v>
      </c>
      <c r="N162" s="73" t="e">
        <f t="shared" si="33"/>
        <v>#DIV/0!</v>
      </c>
      <c r="O162" s="73" t="e">
        <f t="shared" si="33"/>
        <v>#DIV/0!</v>
      </c>
      <c r="P162" s="73" t="e">
        <f t="shared" si="33"/>
        <v>#DIV/0!</v>
      </c>
    </row>
    <row r="163" spans="1:16" ht="30.75" thickBot="1" x14ac:dyDescent="0.3">
      <c r="A163" s="58" t="s">
        <v>170</v>
      </c>
      <c r="B163" s="73">
        <f>B123/(HLOOKUP("NATION",$B$54:$P$124,70,FALSE))</f>
        <v>0.33130389651868414</v>
      </c>
      <c r="C163" s="73">
        <f t="shared" ref="C163:P163" si="34">C123/(HLOOKUP("NATION",$B$54:$P$124,70,FALSE))</f>
        <v>1</v>
      </c>
      <c r="D163" s="73">
        <f t="shared" si="34"/>
        <v>0</v>
      </c>
      <c r="E163" s="73">
        <f t="shared" si="34"/>
        <v>0</v>
      </c>
      <c r="F163" s="73">
        <f t="shared" si="34"/>
        <v>0</v>
      </c>
      <c r="G163" s="73">
        <f t="shared" si="34"/>
        <v>0</v>
      </c>
      <c r="H163" s="73">
        <f t="shared" si="34"/>
        <v>0</v>
      </c>
      <c r="I163" s="73">
        <f t="shared" si="34"/>
        <v>0</v>
      </c>
      <c r="J163" s="73">
        <f t="shared" si="34"/>
        <v>0</v>
      </c>
      <c r="K163" s="73">
        <f t="shared" si="34"/>
        <v>0</v>
      </c>
      <c r="L163" s="73">
        <f t="shared" si="34"/>
        <v>0</v>
      </c>
      <c r="M163" s="73">
        <f t="shared" si="34"/>
        <v>0</v>
      </c>
      <c r="N163" s="73">
        <f t="shared" si="34"/>
        <v>0</v>
      </c>
      <c r="O163" s="73">
        <f t="shared" si="34"/>
        <v>0</v>
      </c>
      <c r="P163" s="73">
        <f t="shared" si="34"/>
        <v>0</v>
      </c>
    </row>
    <row r="164" spans="1:16" ht="45.75" thickBot="1" x14ac:dyDescent="0.3">
      <c r="A164" s="58" t="s">
        <v>169</v>
      </c>
      <c r="B164" s="73">
        <f>B124/(HLOOKUP("NATION",$B$54:$P$124,71,FALSE))</f>
        <v>0.44591507964119864</v>
      </c>
      <c r="C164" s="73">
        <f t="shared" ref="C164:P164" si="35">C124/(HLOOKUP("NATION",$B$54:$P$124,71,FALSE))</f>
        <v>1</v>
      </c>
      <c r="D164" s="73">
        <f t="shared" si="35"/>
        <v>0</v>
      </c>
      <c r="E164" s="73">
        <f t="shared" si="35"/>
        <v>0</v>
      </c>
      <c r="F164" s="73">
        <f t="shared" si="35"/>
        <v>0</v>
      </c>
      <c r="G164" s="73">
        <f t="shared" si="35"/>
        <v>0</v>
      </c>
      <c r="H164" s="73">
        <f t="shared" si="35"/>
        <v>0</v>
      </c>
      <c r="I164" s="73">
        <f t="shared" si="35"/>
        <v>0</v>
      </c>
      <c r="J164" s="73">
        <f t="shared" si="35"/>
        <v>0</v>
      </c>
      <c r="K164" s="73">
        <f t="shared" si="35"/>
        <v>0</v>
      </c>
      <c r="L164" s="73">
        <f t="shared" si="35"/>
        <v>0</v>
      </c>
      <c r="M164" s="73">
        <f t="shared" si="35"/>
        <v>0</v>
      </c>
      <c r="N164" s="73">
        <f t="shared" si="35"/>
        <v>0</v>
      </c>
      <c r="O164" s="73">
        <f t="shared" si="35"/>
        <v>0</v>
      </c>
      <c r="P164" s="73">
        <f t="shared" si="35"/>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Information</vt:lpstr>
      <vt:lpstr>Control_Panel</vt:lpstr>
      <vt:lpstr>Stage_1_Issue_Identification</vt:lpstr>
      <vt:lpstr>Stage_2_Issue_Characterization</vt:lpstr>
      <vt:lpstr>Stage_3_Issue_Location</vt:lpstr>
      <vt:lpstr>Data</vt:lpstr>
      <vt:lpstr>Geographies</vt:lpstr>
      <vt:lpstr>S1comp</vt:lpstr>
      <vt:lpstr>S2comp</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Thackeray</dc:creator>
  <cp:lastModifiedBy>Beckett, Brenda</cp:lastModifiedBy>
  <cp:lastPrinted>2012-09-03T16:45:32Z</cp:lastPrinted>
  <dcterms:created xsi:type="dcterms:W3CDTF">2012-08-03T04:18:59Z</dcterms:created>
  <dcterms:modified xsi:type="dcterms:W3CDTF">2016-02-17T15:44:17Z</dcterms:modified>
</cp:coreProperties>
</file>